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0">#REF!</definedName>
    <definedName name="\M">#REF!</definedName>
    <definedName name="angie">#REF!</definedName>
    <definedName name="date">#REF!</definedName>
    <definedName name="netmargin1">'[10]Debt Service Ratio revised'!$B$9:$D$143</definedName>
    <definedName name="PAGE1">#REF!</definedName>
    <definedName name="PAGE2">#REF!</definedName>
    <definedName name="PAGE3">#REF!</definedName>
    <definedName name="_xlnm.Print_Area" localSheetId="0">'REG11'!$L:$T</definedName>
    <definedName name="_xlnm.Print_Titles" localSheetId="0">'REG11'!$A:$A,'REG11'!$1:$4</definedName>
    <definedName name="Print_Titles_MI">#REF!</definedName>
    <definedName name="sched">'[11]Acid Test'!$A$104:$G$142</definedName>
    <definedName name="sl">[10]main!$A$2:$L$165</definedName>
    <definedName name="systemlossmar14">[12]main!$A$2:$K$165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1" l="1"/>
  <c r="G84" i="1"/>
  <c r="B84" i="1"/>
  <c r="B81" i="1"/>
  <c r="C81" i="1" s="1"/>
  <c r="L67" i="1" s="1"/>
  <c r="A81" i="1"/>
  <c r="C80" i="1"/>
  <c r="B80" i="1"/>
  <c r="A80" i="1"/>
  <c r="B79" i="1"/>
  <c r="C79" i="1" s="1"/>
  <c r="B67" i="1" s="1"/>
  <c r="A79" i="1"/>
  <c r="L75" i="1"/>
  <c r="G75" i="1"/>
  <c r="B75" i="1"/>
  <c r="R72" i="1"/>
  <c r="Q72" i="1"/>
  <c r="O72" i="1"/>
  <c r="N72" i="1"/>
  <c r="J72" i="1"/>
  <c r="I72" i="1"/>
  <c r="E72" i="1"/>
  <c r="D72" i="1"/>
  <c r="T70" i="1"/>
  <c r="M70" i="1"/>
  <c r="N70" i="1" s="1"/>
  <c r="O70" i="1" s="1"/>
  <c r="L70" i="1"/>
  <c r="J70" i="1"/>
  <c r="H70" i="1"/>
  <c r="I70" i="1" s="1"/>
  <c r="G70" i="1"/>
  <c r="C70" i="1"/>
  <c r="D70" i="1" s="1"/>
  <c r="E70" i="1" s="1"/>
  <c r="B70" i="1"/>
  <c r="T69" i="1"/>
  <c r="R69" i="1"/>
  <c r="S69" i="1" s="1"/>
  <c r="Q69" i="1"/>
  <c r="O69" i="1"/>
  <c r="N69" i="1"/>
  <c r="J69" i="1"/>
  <c r="I69" i="1"/>
  <c r="E69" i="1"/>
  <c r="D69" i="1"/>
  <c r="R68" i="1"/>
  <c r="R70" i="1" s="1"/>
  <c r="Q68" i="1"/>
  <c r="Q70" i="1" s="1"/>
  <c r="S70" i="1" s="1"/>
  <c r="O68" i="1"/>
  <c r="N68" i="1"/>
  <c r="J68" i="1"/>
  <c r="I68" i="1"/>
  <c r="E68" i="1"/>
  <c r="D68" i="1"/>
  <c r="M67" i="1"/>
  <c r="H67" i="1"/>
  <c r="G67" i="1"/>
  <c r="J67" i="1" s="1"/>
  <c r="C67" i="1"/>
  <c r="T63" i="1"/>
  <c r="Q63" i="1"/>
  <c r="M63" i="1"/>
  <c r="L63" i="1"/>
  <c r="H63" i="1"/>
  <c r="G63" i="1"/>
  <c r="J63" i="1" s="1"/>
  <c r="C63" i="1"/>
  <c r="E63" i="1" s="1"/>
  <c r="B63" i="1"/>
  <c r="T62" i="1"/>
  <c r="R62" i="1"/>
  <c r="S62" i="1" s="1"/>
  <c r="Q62" i="1"/>
  <c r="O62" i="1"/>
  <c r="N62" i="1"/>
  <c r="J62" i="1"/>
  <c r="I62" i="1"/>
  <c r="E62" i="1"/>
  <c r="D62" i="1"/>
  <c r="R61" i="1"/>
  <c r="Q61" i="1"/>
  <c r="S61" i="1" s="1"/>
  <c r="T61" i="1" s="1"/>
  <c r="O61" i="1"/>
  <c r="N61" i="1"/>
  <c r="J61" i="1"/>
  <c r="I61" i="1"/>
  <c r="E61" i="1"/>
  <c r="D61" i="1"/>
  <c r="R60" i="1"/>
  <c r="R63" i="1" s="1"/>
  <c r="Q60" i="1"/>
  <c r="O60" i="1"/>
  <c r="N60" i="1"/>
  <c r="J60" i="1"/>
  <c r="I60" i="1"/>
  <c r="E60" i="1"/>
  <c r="D60" i="1"/>
  <c r="R56" i="1"/>
  <c r="M56" i="1"/>
  <c r="L56" i="1"/>
  <c r="N56" i="1" s="1"/>
  <c r="O56" i="1" s="1"/>
  <c r="H56" i="1"/>
  <c r="G56" i="1"/>
  <c r="I56" i="1" s="1"/>
  <c r="J56" i="1" s="1"/>
  <c r="C56" i="1"/>
  <c r="B56" i="1"/>
  <c r="Q56" i="1" s="1"/>
  <c r="S56" i="1" s="1"/>
  <c r="T56" i="1" s="1"/>
  <c r="M55" i="1"/>
  <c r="L55" i="1"/>
  <c r="H55" i="1"/>
  <c r="G55" i="1"/>
  <c r="C55" i="1"/>
  <c r="B55" i="1"/>
  <c r="Q55" i="1" s="1"/>
  <c r="R54" i="1"/>
  <c r="Q54" i="1"/>
  <c r="M54" i="1"/>
  <c r="L54" i="1"/>
  <c r="H54" i="1"/>
  <c r="G54" i="1"/>
  <c r="C54" i="1"/>
  <c r="B54" i="1"/>
  <c r="R53" i="1"/>
  <c r="M53" i="1"/>
  <c r="L53" i="1"/>
  <c r="N53" i="1" s="1"/>
  <c r="O53" i="1" s="1"/>
  <c r="H53" i="1"/>
  <c r="G53" i="1"/>
  <c r="I53" i="1" s="1"/>
  <c r="J53" i="1" s="1"/>
  <c r="C53" i="1"/>
  <c r="B53" i="1"/>
  <c r="Q53" i="1" s="1"/>
  <c r="M52" i="1"/>
  <c r="L52" i="1"/>
  <c r="H52" i="1"/>
  <c r="G52" i="1"/>
  <c r="C52" i="1"/>
  <c r="R52" i="1" s="1"/>
  <c r="B52" i="1"/>
  <c r="Q52" i="1" s="1"/>
  <c r="R49" i="1"/>
  <c r="Q49" i="1"/>
  <c r="O49" i="1"/>
  <c r="N49" i="1"/>
  <c r="M48" i="1"/>
  <c r="N48" i="1" s="1"/>
  <c r="O48" i="1" s="1"/>
  <c r="L48" i="1"/>
  <c r="J48" i="1"/>
  <c r="H48" i="1"/>
  <c r="I48" i="1" s="1"/>
  <c r="G48" i="1"/>
  <c r="C48" i="1"/>
  <c r="D48" i="1" s="1"/>
  <c r="E48" i="1" s="1"/>
  <c r="B48" i="1"/>
  <c r="Q48" i="1" s="1"/>
  <c r="M47" i="1"/>
  <c r="N47" i="1" s="1"/>
  <c r="O47" i="1" s="1"/>
  <c r="L47" i="1"/>
  <c r="J47" i="1"/>
  <c r="H47" i="1"/>
  <c r="I47" i="1" s="1"/>
  <c r="G47" i="1"/>
  <c r="C47" i="1"/>
  <c r="D47" i="1" s="1"/>
  <c r="E47" i="1" s="1"/>
  <c r="B47" i="1"/>
  <c r="Q47" i="1" s="1"/>
  <c r="M46" i="1"/>
  <c r="N46" i="1" s="1"/>
  <c r="O46" i="1" s="1"/>
  <c r="L46" i="1"/>
  <c r="J46" i="1"/>
  <c r="H46" i="1"/>
  <c r="I46" i="1" s="1"/>
  <c r="G46" i="1"/>
  <c r="C46" i="1"/>
  <c r="D46" i="1" s="1"/>
  <c r="E46" i="1" s="1"/>
  <c r="B46" i="1"/>
  <c r="Q46" i="1" s="1"/>
  <c r="M45" i="1"/>
  <c r="H45" i="1"/>
  <c r="C45" i="1"/>
  <c r="O44" i="1"/>
  <c r="M44" i="1"/>
  <c r="N44" i="1" s="1"/>
  <c r="L44" i="1"/>
  <c r="L45" i="1" s="1"/>
  <c r="N45" i="1" s="1"/>
  <c r="O45" i="1" s="1"/>
  <c r="H44" i="1"/>
  <c r="I44" i="1" s="1"/>
  <c r="J44" i="1" s="1"/>
  <c r="G44" i="1"/>
  <c r="E44" i="1"/>
  <c r="C44" i="1"/>
  <c r="D44" i="1" s="1"/>
  <c r="B44" i="1"/>
  <c r="B45" i="1" s="1"/>
  <c r="D45" i="1" s="1"/>
  <c r="E45" i="1" s="1"/>
  <c r="M43" i="1"/>
  <c r="H43" i="1"/>
  <c r="C43" i="1"/>
  <c r="M42" i="1"/>
  <c r="H42" i="1"/>
  <c r="C42" i="1"/>
  <c r="N41" i="1"/>
  <c r="O41" i="1" s="1"/>
  <c r="M41" i="1"/>
  <c r="L41" i="1"/>
  <c r="I41" i="1"/>
  <c r="J41" i="1" s="1"/>
  <c r="H41" i="1"/>
  <c r="G41" i="1"/>
  <c r="D41" i="1"/>
  <c r="E41" i="1" s="1"/>
  <c r="C41" i="1"/>
  <c r="R41" i="1" s="1"/>
  <c r="B41" i="1"/>
  <c r="M40" i="1"/>
  <c r="H40" i="1"/>
  <c r="C40" i="1"/>
  <c r="R39" i="1"/>
  <c r="M39" i="1"/>
  <c r="L39" i="1"/>
  <c r="N39" i="1" s="1"/>
  <c r="O39" i="1" s="1"/>
  <c r="H39" i="1"/>
  <c r="G39" i="1"/>
  <c r="I39" i="1" s="1"/>
  <c r="C39" i="1"/>
  <c r="B39" i="1"/>
  <c r="Q38" i="1"/>
  <c r="M38" i="1"/>
  <c r="N38" i="1" s="1"/>
  <c r="L38" i="1"/>
  <c r="I38" i="1"/>
  <c r="H38" i="1"/>
  <c r="G38" i="1"/>
  <c r="D38" i="1"/>
  <c r="E38" i="1" s="1"/>
  <c r="C38" i="1"/>
  <c r="R38" i="1" s="1"/>
  <c r="B38" i="1"/>
  <c r="N37" i="1"/>
  <c r="O37" i="1" s="1"/>
  <c r="M37" i="1"/>
  <c r="L37" i="1"/>
  <c r="L85" i="1" s="1"/>
  <c r="I37" i="1"/>
  <c r="J37" i="1" s="1"/>
  <c r="H37" i="1"/>
  <c r="G37" i="1"/>
  <c r="G85" i="1" s="1"/>
  <c r="D37" i="1"/>
  <c r="E37" i="1" s="1"/>
  <c r="C37" i="1"/>
  <c r="R37" i="1" s="1"/>
  <c r="S37" i="1" s="1"/>
  <c r="T37" i="1" s="1"/>
  <c r="B37" i="1"/>
  <c r="Q37" i="1" s="1"/>
  <c r="M33" i="1"/>
  <c r="H33" i="1"/>
  <c r="C33" i="1"/>
  <c r="M32" i="1"/>
  <c r="H32" i="1"/>
  <c r="C32" i="1"/>
  <c r="N31" i="1"/>
  <c r="O31" i="1" s="1"/>
  <c r="M31" i="1"/>
  <c r="L31" i="1"/>
  <c r="Q31" i="1" s="1"/>
  <c r="H31" i="1"/>
  <c r="G31" i="1"/>
  <c r="I31" i="1" s="1"/>
  <c r="C31" i="1"/>
  <c r="B31" i="1"/>
  <c r="D31" i="1" s="1"/>
  <c r="E31" i="1" s="1"/>
  <c r="M30" i="1"/>
  <c r="H30" i="1"/>
  <c r="C30" i="1"/>
  <c r="M29" i="1"/>
  <c r="H29" i="1"/>
  <c r="C29" i="1"/>
  <c r="Q28" i="1"/>
  <c r="S28" i="1" s="1"/>
  <c r="T28" i="1" s="1"/>
  <c r="M28" i="1"/>
  <c r="L28" i="1"/>
  <c r="N28" i="1" s="1"/>
  <c r="O28" i="1" s="1"/>
  <c r="I28" i="1"/>
  <c r="J28" i="1" s="1"/>
  <c r="H28" i="1"/>
  <c r="G28" i="1"/>
  <c r="D28" i="1"/>
  <c r="E28" i="1" s="1"/>
  <c r="C28" i="1"/>
  <c r="R28" i="1" s="1"/>
  <c r="B28" i="1"/>
  <c r="N27" i="1"/>
  <c r="O27" i="1" s="1"/>
  <c r="M27" i="1"/>
  <c r="L27" i="1"/>
  <c r="I27" i="1"/>
  <c r="J27" i="1" s="1"/>
  <c r="H27" i="1"/>
  <c r="G27" i="1"/>
  <c r="C27" i="1"/>
  <c r="R27" i="1" s="1"/>
  <c r="B27" i="1"/>
  <c r="M26" i="1"/>
  <c r="H26" i="1"/>
  <c r="C26" i="1"/>
  <c r="M25" i="1"/>
  <c r="H25" i="1"/>
  <c r="C25" i="1"/>
  <c r="M24" i="1"/>
  <c r="L24" i="1"/>
  <c r="L71" i="1" s="1"/>
  <c r="H24" i="1"/>
  <c r="G24" i="1"/>
  <c r="C24" i="1"/>
  <c r="B24" i="1"/>
  <c r="B71" i="1" s="1"/>
  <c r="M23" i="1"/>
  <c r="H23" i="1"/>
  <c r="C23" i="1"/>
  <c r="M22" i="1"/>
  <c r="L22" i="1"/>
  <c r="L65" i="1" s="1"/>
  <c r="H22" i="1"/>
  <c r="R22" i="1" s="1"/>
  <c r="G22" i="1"/>
  <c r="G65" i="1" s="1"/>
  <c r="C22" i="1"/>
  <c r="B22" i="1"/>
  <c r="B65" i="1" s="1"/>
  <c r="M21" i="1"/>
  <c r="H21" i="1"/>
  <c r="C21" i="1"/>
  <c r="M20" i="1"/>
  <c r="N20" i="1" s="1"/>
  <c r="O20" i="1" s="1"/>
  <c r="L20" i="1"/>
  <c r="H20" i="1"/>
  <c r="I20" i="1" s="1"/>
  <c r="J20" i="1" s="1"/>
  <c r="G20" i="1"/>
  <c r="C20" i="1"/>
  <c r="D20" i="1" s="1"/>
  <c r="E20" i="1" s="1"/>
  <c r="B20" i="1"/>
  <c r="Q20" i="1" s="1"/>
  <c r="M19" i="1"/>
  <c r="H19" i="1"/>
  <c r="C19" i="1"/>
  <c r="R18" i="1"/>
  <c r="M18" i="1"/>
  <c r="L18" i="1"/>
  <c r="N18" i="1" s="1"/>
  <c r="H18" i="1"/>
  <c r="G18" i="1"/>
  <c r="I18" i="1" s="1"/>
  <c r="J18" i="1" s="1"/>
  <c r="C18" i="1"/>
  <c r="B18" i="1"/>
  <c r="Q18" i="1" s="1"/>
  <c r="S18" i="1" s="1"/>
  <c r="T18" i="1" s="1"/>
  <c r="M17" i="1"/>
  <c r="L17" i="1"/>
  <c r="H17" i="1"/>
  <c r="G17" i="1"/>
  <c r="I17" i="1" s="1"/>
  <c r="J17" i="1" s="1"/>
  <c r="C17" i="1"/>
  <c r="R17" i="1" s="1"/>
  <c r="B17" i="1"/>
  <c r="M16" i="1"/>
  <c r="L16" i="1"/>
  <c r="H16" i="1"/>
  <c r="G16" i="1"/>
  <c r="I16" i="1" s="1"/>
  <c r="J16" i="1" s="1"/>
  <c r="C16" i="1"/>
  <c r="R16" i="1" s="1"/>
  <c r="B16" i="1"/>
  <c r="D16" i="1" s="1"/>
  <c r="E16" i="1" s="1"/>
  <c r="M15" i="1"/>
  <c r="L15" i="1"/>
  <c r="H15" i="1"/>
  <c r="G15" i="1"/>
  <c r="I15" i="1" s="1"/>
  <c r="J15" i="1" s="1"/>
  <c r="C15" i="1"/>
  <c r="R15" i="1" s="1"/>
  <c r="B15" i="1"/>
  <c r="D15" i="1" s="1"/>
  <c r="E15" i="1" s="1"/>
  <c r="M14" i="1"/>
  <c r="L14" i="1"/>
  <c r="H14" i="1"/>
  <c r="G14" i="1"/>
  <c r="I14" i="1" s="1"/>
  <c r="J14" i="1" s="1"/>
  <c r="C14" i="1"/>
  <c r="R14" i="1" s="1"/>
  <c r="B14" i="1"/>
  <c r="D14" i="1" s="1"/>
  <c r="E14" i="1" s="1"/>
  <c r="M13" i="1"/>
  <c r="M64" i="1" s="1"/>
  <c r="L13" i="1"/>
  <c r="H13" i="1"/>
  <c r="H64" i="1" s="1"/>
  <c r="G13" i="1"/>
  <c r="C13" i="1"/>
  <c r="C64" i="1" s="1"/>
  <c r="B13" i="1"/>
  <c r="R9" i="1"/>
  <c r="Q9" i="1"/>
  <c r="M9" i="1"/>
  <c r="L9" i="1"/>
  <c r="H9" i="1"/>
  <c r="G9" i="1"/>
  <c r="C9" i="1"/>
  <c r="B9" i="1"/>
  <c r="A3" i="1"/>
  <c r="A2" i="1"/>
  <c r="R65" i="1" l="1"/>
  <c r="B64" i="1"/>
  <c r="B19" i="1"/>
  <c r="D13" i="1"/>
  <c r="E13" i="1" s="1"/>
  <c r="Q17" i="1"/>
  <c r="S17" i="1" s="1"/>
  <c r="T17" i="1" s="1"/>
  <c r="D17" i="1"/>
  <c r="E17" i="1" s="1"/>
  <c r="Q13" i="1"/>
  <c r="Q14" i="1"/>
  <c r="S14" i="1" s="1"/>
  <c r="T14" i="1" s="1"/>
  <c r="Q15" i="1"/>
  <c r="S15" i="1" s="1"/>
  <c r="T15" i="1" s="1"/>
  <c r="Q16" i="1"/>
  <c r="S16" i="1" s="1"/>
  <c r="T16" i="1" s="1"/>
  <c r="L64" i="1"/>
  <c r="N64" i="1" s="1"/>
  <c r="O64" i="1" s="1"/>
  <c r="L19" i="1"/>
  <c r="N13" i="1"/>
  <c r="O13" i="1" s="1"/>
  <c r="R13" i="1"/>
  <c r="N14" i="1"/>
  <c r="O14" i="1" s="1"/>
  <c r="N15" i="1"/>
  <c r="O15" i="1" s="1"/>
  <c r="N16" i="1"/>
  <c r="O16" i="1" s="1"/>
  <c r="N17" i="1"/>
  <c r="O17" i="1" s="1"/>
  <c r="C65" i="1"/>
  <c r="D65" i="1" s="1"/>
  <c r="E65" i="1" s="1"/>
  <c r="D22" i="1"/>
  <c r="E22" i="1" s="1"/>
  <c r="M65" i="1"/>
  <c r="N65" i="1" s="1"/>
  <c r="O65" i="1" s="1"/>
  <c r="N22" i="1"/>
  <c r="O22" i="1" s="1"/>
  <c r="C71" i="1"/>
  <c r="R24" i="1"/>
  <c r="D24" i="1"/>
  <c r="E24" i="1" s="1"/>
  <c r="M71" i="1"/>
  <c r="N24" i="1"/>
  <c r="O24" i="1" s="1"/>
  <c r="B42" i="1"/>
  <c r="D42" i="1" s="1"/>
  <c r="E42" i="1" s="1"/>
  <c r="R55" i="1"/>
  <c r="G64" i="1"/>
  <c r="I64" i="1" s="1"/>
  <c r="J64" i="1" s="1"/>
  <c r="G19" i="1"/>
  <c r="I13" i="1"/>
  <c r="J13" i="1" s="1"/>
  <c r="R20" i="1"/>
  <c r="S20" i="1" s="1"/>
  <c r="T20" i="1" s="1"/>
  <c r="H65" i="1"/>
  <c r="I22" i="1"/>
  <c r="J22" i="1" s="1"/>
  <c r="H71" i="1"/>
  <c r="I24" i="1"/>
  <c r="J24" i="1" s="1"/>
  <c r="D27" i="1"/>
  <c r="E27" i="1" s="1"/>
  <c r="Q27" i="1"/>
  <c r="S27" i="1" s="1"/>
  <c r="T27" i="1" s="1"/>
  <c r="D18" i="1"/>
  <c r="I65" i="1"/>
  <c r="J65" i="1" s="1"/>
  <c r="Q22" i="1"/>
  <c r="D71" i="1"/>
  <c r="E71" i="1" s="1"/>
  <c r="G71" i="1"/>
  <c r="I71" i="1" s="1"/>
  <c r="J71" i="1" s="1"/>
  <c r="N71" i="1"/>
  <c r="O71" i="1" s="1"/>
  <c r="Q24" i="1"/>
  <c r="R31" i="1"/>
  <c r="S31" i="1" s="1"/>
  <c r="T31" i="1" s="1"/>
  <c r="G42" i="1"/>
  <c r="I42" i="1" s="1"/>
  <c r="J42" i="1" s="1"/>
  <c r="G45" i="1"/>
  <c r="I45" i="1" s="1"/>
  <c r="J45" i="1" s="1"/>
  <c r="S52" i="1"/>
  <c r="T52" i="1" s="1"/>
  <c r="N52" i="1"/>
  <c r="O52" i="1" s="1"/>
  <c r="I54" i="1"/>
  <c r="J54" i="1" s="1"/>
  <c r="S54" i="1"/>
  <c r="T54" i="1" s="1"/>
  <c r="I55" i="1"/>
  <c r="J55" i="1" s="1"/>
  <c r="S72" i="1"/>
  <c r="T72" i="1" s="1"/>
  <c r="O67" i="1"/>
  <c r="S38" i="1"/>
  <c r="T38" i="1" s="1"/>
  <c r="S46" i="1"/>
  <c r="T46" i="1" s="1"/>
  <c r="S49" i="1"/>
  <c r="T49" i="1" s="1"/>
  <c r="I52" i="1"/>
  <c r="J52" i="1" s="1"/>
  <c r="D54" i="1"/>
  <c r="E54" i="1" s="1"/>
  <c r="N54" i="1"/>
  <c r="O54" i="1" s="1"/>
  <c r="S55" i="1"/>
  <c r="T55" i="1" s="1"/>
  <c r="N55" i="1"/>
  <c r="O55" i="1" s="1"/>
  <c r="O63" i="1"/>
  <c r="R67" i="1"/>
  <c r="Q39" i="1"/>
  <c r="S39" i="1" s="1"/>
  <c r="T39" i="1" s="1"/>
  <c r="D39" i="1"/>
  <c r="E39" i="1" s="1"/>
  <c r="L42" i="1"/>
  <c r="N42" i="1" s="1"/>
  <c r="O42" i="1" s="1"/>
  <c r="S53" i="1"/>
  <c r="T53" i="1" s="1"/>
  <c r="E67" i="1"/>
  <c r="Q67" i="1"/>
  <c r="T67" i="1" s="1"/>
  <c r="Q44" i="1"/>
  <c r="D52" i="1"/>
  <c r="E52" i="1" s="1"/>
  <c r="D53" i="1"/>
  <c r="E53" i="1" s="1"/>
  <c r="D55" i="1"/>
  <c r="E55" i="1" s="1"/>
  <c r="D56" i="1"/>
  <c r="E56" i="1" s="1"/>
  <c r="S68" i="1"/>
  <c r="T68" i="1" s="1"/>
  <c r="B85" i="1"/>
  <c r="Q41" i="1"/>
  <c r="R44" i="1"/>
  <c r="R45" i="1" s="1"/>
  <c r="R46" i="1"/>
  <c r="R47" i="1"/>
  <c r="S47" i="1" s="1"/>
  <c r="T47" i="1" s="1"/>
  <c r="R48" i="1"/>
  <c r="S48" i="1" s="1"/>
  <c r="T48" i="1" s="1"/>
  <c r="S60" i="1"/>
  <c r="T60" i="1" s="1"/>
  <c r="S44" i="1" l="1"/>
  <c r="T44" i="1" s="1"/>
  <c r="Q45" i="1"/>
  <c r="S45" i="1" s="1"/>
  <c r="T45" i="1" s="1"/>
  <c r="R64" i="1"/>
  <c r="R19" i="1"/>
  <c r="R21" i="1" s="1"/>
  <c r="Q71" i="1"/>
  <c r="S24" i="1"/>
  <c r="T24" i="1" s="1"/>
  <c r="N19" i="1"/>
  <c r="O19" i="1" s="1"/>
  <c r="L21" i="1"/>
  <c r="Q64" i="1"/>
  <c r="Q19" i="1"/>
  <c r="S13" i="1"/>
  <c r="T13" i="1" s="1"/>
  <c r="D19" i="1"/>
  <c r="E19" i="1" s="1"/>
  <c r="B21" i="1"/>
  <c r="Q65" i="1"/>
  <c r="S65" i="1" s="1"/>
  <c r="T65" i="1" s="1"/>
  <c r="S22" i="1"/>
  <c r="T22" i="1" s="1"/>
  <c r="D64" i="1"/>
  <c r="E64" i="1"/>
  <c r="Q42" i="1"/>
  <c r="S41" i="1"/>
  <c r="T41" i="1" s="1"/>
  <c r="R42" i="1"/>
  <c r="I19" i="1"/>
  <c r="J19" i="1" s="1"/>
  <c r="G21" i="1"/>
  <c r="R71" i="1"/>
  <c r="R25" i="1"/>
  <c r="S19" i="1" l="1"/>
  <c r="T19" i="1" s="1"/>
  <c r="Q21" i="1"/>
  <c r="L25" i="1"/>
  <c r="O25" i="1" s="1"/>
  <c r="L23" i="1"/>
  <c r="O23" i="1" s="1"/>
  <c r="N21" i="1"/>
  <c r="O21" i="1" s="1"/>
  <c r="L26" i="1"/>
  <c r="G23" i="1"/>
  <c r="J23" i="1" s="1"/>
  <c r="I21" i="1"/>
  <c r="J21" i="1" s="1"/>
  <c r="G26" i="1"/>
  <c r="G25" i="1"/>
  <c r="J25" i="1" s="1"/>
  <c r="S42" i="1"/>
  <c r="T42" i="1" s="1"/>
  <c r="R26" i="1"/>
  <c r="R23" i="1"/>
  <c r="B26" i="1"/>
  <c r="B25" i="1"/>
  <c r="E25" i="1" s="1"/>
  <c r="D21" i="1"/>
  <c r="E21" i="1" s="1"/>
  <c r="B23" i="1"/>
  <c r="E23" i="1" s="1"/>
  <c r="S64" i="1"/>
  <c r="T64" i="1" s="1"/>
  <c r="S71" i="1"/>
  <c r="T71" i="1" s="1"/>
  <c r="B29" i="1" l="1"/>
  <c r="D26" i="1"/>
  <c r="E26" i="1" s="1"/>
  <c r="I26" i="1"/>
  <c r="J26" i="1" s="1"/>
  <c r="G29" i="1"/>
  <c r="R32" i="1"/>
  <c r="R33" i="1" s="1"/>
  <c r="R29" i="1"/>
  <c r="R30" i="1" s="1"/>
  <c r="N26" i="1"/>
  <c r="O26" i="1" s="1"/>
  <c r="L29" i="1"/>
  <c r="Q26" i="1"/>
  <c r="S21" i="1"/>
  <c r="T21" i="1" s="1"/>
  <c r="Q25" i="1"/>
  <c r="T25" i="1" s="1"/>
  <c r="Q23" i="1"/>
  <c r="T23" i="1" s="1"/>
  <c r="Q32" i="1" l="1"/>
  <c r="Q29" i="1"/>
  <c r="S26" i="1"/>
  <c r="T26" i="1" s="1"/>
  <c r="B32" i="1"/>
  <c r="B30" i="1"/>
  <c r="E30" i="1" s="1"/>
  <c r="D29" i="1"/>
  <c r="E29" i="1" s="1"/>
  <c r="L32" i="1"/>
  <c r="L30" i="1"/>
  <c r="O30" i="1" s="1"/>
  <c r="N29" i="1"/>
  <c r="O29" i="1" s="1"/>
  <c r="G30" i="1"/>
  <c r="G32" i="1"/>
  <c r="I29" i="1"/>
  <c r="J29" i="1" s="1"/>
  <c r="G76" i="1" l="1"/>
  <c r="G33" i="1"/>
  <c r="J33" i="1" s="1"/>
  <c r="I32" i="1"/>
  <c r="J32" i="1" s="1"/>
  <c r="N32" i="1"/>
  <c r="O32" i="1" s="1"/>
  <c r="L33" i="1"/>
  <c r="O33" i="1" s="1"/>
  <c r="L76" i="1"/>
  <c r="Q30" i="1"/>
  <c r="T30" i="1" s="1"/>
  <c r="S29" i="1"/>
  <c r="T29" i="1" s="1"/>
  <c r="Q33" i="1"/>
  <c r="T33" i="1" s="1"/>
  <c r="S32" i="1"/>
  <c r="T32" i="1" s="1"/>
  <c r="B76" i="1"/>
  <c r="B33" i="1"/>
  <c r="E33" i="1" s="1"/>
  <c r="D32" i="1"/>
  <c r="E32" i="1" s="1"/>
</calcChain>
</file>

<file path=xl/sharedStrings.xml><?xml version="1.0" encoding="utf-8"?>
<sst xmlns="http://schemas.openxmlformats.org/spreadsheetml/2006/main" count="83" uniqueCount="69">
  <si>
    <t>REGION XI</t>
  </si>
  <si>
    <t>(In Thousand)</t>
  </si>
  <si>
    <t>NORDECO</t>
  </si>
  <si>
    <t>DASURECO</t>
  </si>
  <si>
    <t>DORECO</t>
  </si>
  <si>
    <t>T O T A L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</si>
  <si>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</si>
  <si>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</si>
  <si>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</si>
  <si>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</si>
  <si>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</si>
  <si>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</si>
  <si>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</si>
  <si>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</si>
  <si>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Other Taxes</t>
  </si>
  <si>
    <t xml:space="preserve">             Others</t>
  </si>
  <si>
    <t xml:space="preserve">  Net Operating Revenue</t>
  </si>
  <si>
    <t xml:space="preserve">  Add:  Other Revenue</t>
  </si>
  <si>
    <t xml:space="preserve">  Total Operating Revenue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</si>
  <si>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</si>
  <si>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</si>
  <si>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</si>
  <si>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</si>
  <si>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</si>
  <si>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</si>
  <si>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</si>
  <si>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</si>
  <si>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</si>
  <si>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</si>
  <si>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Cash-General Fund</t>
  </si>
  <si>
    <t xml:space="preserve">  Sinking Fund-Loan Fund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</si>
  <si>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</si>
  <si>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</si>
  <si>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</si>
  <si>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</si>
  <si>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</si>
  <si>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</si>
  <si>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</si>
  <si>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</si>
  <si>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</si>
  <si>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</si>
  <si>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</si>
  <si>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</si>
  <si>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</si>
  <si>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</si>
  <si>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</si>
  <si>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</si>
  <si>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</si>
  <si>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</si>
  <si>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</si>
  <si>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</si>
  <si>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</t>
  </si>
  <si>
    <t xml:space="preserve">  Average Systems Rate (P)</t>
  </si>
  <si>
    <t xml:space="preserve">  Average Power Cost (P)</t>
  </si>
  <si>
    <t xml:space="preserve">  Average Collection Period</t>
  </si>
  <si>
    <t>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</si>
  <si>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</si>
  <si>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</si>
  <si>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</si>
  <si>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</si>
  <si>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</si>
  <si>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</si>
  <si>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 - Mega Large</t>
  </si>
  <si>
    <t>AAA - Mega Large</t>
  </si>
  <si>
    <t>B - Mega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</si>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</sst>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0.00_)"/>
  </numFmts>
  <fonts count="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0" xfId="1" applyNumberFormat="1" applyFont="1"/>
    <xf numFmtId="165" fontId="2" fillId="0" borderId="0" xfId="0" applyNumberFormat="1" applyFont="1"/>
    <xf numFmtId="3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top"/>
    </xf>
    <xf numFmtId="43" fontId="2" fillId="0" borderId="0" xfId="0" applyNumberFormat="1" applyFont="1" applyAlignment="1">
      <alignment horizontal="left"/>
    </xf>
    <xf numFmtId="43" fontId="2" fillId="0" borderId="0" xfId="1" applyFont="1"/>
    <xf numFmtId="43" fontId="2" fillId="0" borderId="0" xfId="1" applyNumberFormat="1" applyFont="1" applyFill="1"/>
    <xf numFmtId="43" fontId="2" fillId="0" borderId="0" xfId="0" applyNumberFormat="1" applyFont="1"/>
    <xf numFmtId="43" fontId="2" fillId="0" borderId="0" xfId="1" applyFont="1" applyFill="1"/>
    <xf numFmtId="164" fontId="2" fillId="0" borderId="0" xfId="1" applyNumberFormat="1" applyFont="1" applyFill="1" applyAlignment="1">
      <alignment horizontal="right"/>
    </xf>
    <xf numFmtId="43" fontId="2" fillId="0" borderId="0" xfId="1" applyNumberFormat="1" applyFont="1" applyFill="1" applyAlignment="1">
      <alignment horizontal="right"/>
    </xf>
    <xf numFmtId="43" fontId="2" fillId="0" borderId="0" xfId="1" applyNumberFormat="1" applyFont="1"/>
    <xf numFmtId="166" fontId="2" fillId="0" borderId="0" xfId="0" applyNumberFormat="1" applyFont="1"/>
    <xf numFmtId="164" fontId="2" fillId="0" borderId="0" xfId="1" applyNumberFormat="1" applyFont="1" applyAlignment="1">
      <alignment horizontal="left"/>
    </xf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0" fontId="6" fillId="0" borderId="0" xfId="0" applyFont="1"/>
    <xf numFmtId="43" fontId="6" fillId="0" borderId="0" xfId="0" applyNumberFormat="1" applyFont="1"/>
    <xf numFmtId="0" fontId="7" fillId="0" borderId="0" xfId="0" applyFont="1"/>
    <xf numFmtId="2" fontId="2" fillId="0" borderId="0" xfId="0" applyNumberFormat="1" applyFont="1"/>
    <xf numFmtId="43" fontId="6" fillId="0" borderId="0" xfId="1" applyFont="1"/>
    <xf numFmtId="43" fontId="8" fillId="0" borderId="0" xfId="0" applyNumberFormat="1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1\NORDECO_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1\DASURECO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1\DORECO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DANECO"/>
      <sheetName val="NORDECO_SEPT"/>
    </sheetNames>
    <sheetDataSet>
      <sheetData sheetId="0">
        <row r="5">
          <cell r="U5">
            <v>5356614.4057900002</v>
          </cell>
        </row>
        <row r="6">
          <cell r="U6">
            <v>97499.455990000002</v>
          </cell>
        </row>
        <row r="7">
          <cell r="U7">
            <v>151459.86530999999</v>
          </cell>
        </row>
        <row r="10">
          <cell r="U10">
            <v>520663.45779000001</v>
          </cell>
        </row>
        <row r="11">
          <cell r="U11">
            <v>14043.065329999999</v>
          </cell>
        </row>
        <row r="12">
          <cell r="U12">
            <v>0</v>
          </cell>
        </row>
        <row r="14">
          <cell r="U14">
            <v>332485.37604</v>
          </cell>
        </row>
        <row r="16">
          <cell r="U16">
            <v>4325680.1516500004</v>
          </cell>
        </row>
        <row r="18">
          <cell r="U18">
            <v>434406.01913000003</v>
          </cell>
        </row>
        <row r="21">
          <cell r="U21">
            <v>88439.178750000006</v>
          </cell>
        </row>
        <row r="22">
          <cell r="U22">
            <v>125300.16979000001</v>
          </cell>
        </row>
        <row r="25">
          <cell r="U25">
            <v>592.40763000000004</v>
          </cell>
        </row>
        <row r="31">
          <cell r="U31">
            <v>114729.63</v>
          </cell>
        </row>
        <row r="32">
          <cell r="U32">
            <v>89.29</v>
          </cell>
        </row>
        <row r="33">
          <cell r="U33">
            <v>1551.37</v>
          </cell>
        </row>
        <row r="35">
          <cell r="U35">
            <v>3597279.27</v>
          </cell>
        </row>
        <row r="38">
          <cell r="U38">
            <v>1333857.8700000001</v>
          </cell>
        </row>
        <row r="40">
          <cell r="U40">
            <v>408620.19208111113</v>
          </cell>
        </row>
        <row r="41">
          <cell r="U41">
            <v>5406.0891099999999</v>
          </cell>
        </row>
        <row r="42">
          <cell r="U42">
            <v>120139.83959000002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  <cell r="G13">
            <v>4587231.16555</v>
          </cell>
          <cell r="L13">
            <v>1635168.7535399999</v>
          </cell>
        </row>
        <row r="14">
          <cell r="B14">
            <v>88403.562180000008</v>
          </cell>
          <cell r="G14">
            <v>99154.183170000004</v>
          </cell>
          <cell r="L14">
            <v>44142.117959999996</v>
          </cell>
        </row>
        <row r="15">
          <cell r="B15">
            <v>106341.74076</v>
          </cell>
          <cell r="G15">
            <v>85421.202179999993</v>
          </cell>
          <cell r="L15">
            <v>30333.497200000002</v>
          </cell>
        </row>
        <row r="16">
          <cell r="B16">
            <v>579115.39515</v>
          </cell>
          <cell r="G16">
            <v>466855.08583000005</v>
          </cell>
          <cell r="L16">
            <v>157757.72972</v>
          </cell>
        </row>
        <row r="17">
          <cell r="B17">
            <v>12859.629799999999</v>
          </cell>
          <cell r="G17">
            <v>7622.5941899999998</v>
          </cell>
          <cell r="L17">
            <v>46.878789999999995</v>
          </cell>
        </row>
        <row r="18">
          <cell r="B18">
            <v>0</v>
          </cell>
          <cell r="G18">
            <v>-3.9224099999999997</v>
          </cell>
          <cell r="L18">
            <v>0</v>
          </cell>
        </row>
        <row r="19">
          <cell r="B19">
            <v>4828160.0815799991</v>
          </cell>
          <cell r="G19">
            <v>3928182.0225899997</v>
          </cell>
          <cell r="L19">
            <v>1402888.52987</v>
          </cell>
        </row>
        <row r="20">
          <cell r="B20">
            <v>362971.48817000003</v>
          </cell>
          <cell r="G20">
            <v>42333.617809999996</v>
          </cell>
          <cell r="L20">
            <v>36904.826690000002</v>
          </cell>
        </row>
        <row r="21">
          <cell r="B21">
            <v>5191131.5697499989</v>
          </cell>
          <cell r="G21">
            <v>3970515.6403999999</v>
          </cell>
          <cell r="L21">
            <v>1439793.35656</v>
          </cell>
        </row>
        <row r="22">
          <cell r="B22">
            <v>4838691.37995</v>
          </cell>
          <cell r="G22">
            <v>3443571.4621100002</v>
          </cell>
          <cell r="L22">
            <v>1310825.1154800002</v>
          </cell>
        </row>
        <row r="23">
          <cell r="B23">
            <v>93</v>
          </cell>
          <cell r="G23">
            <v>87</v>
          </cell>
          <cell r="L23">
            <v>91</v>
          </cell>
        </row>
        <row r="24">
          <cell r="B24">
            <v>441501.34157999995</v>
          </cell>
          <cell r="G24">
            <v>352727.34597000002</v>
          </cell>
          <cell r="L24">
            <v>110789.25132</v>
          </cell>
        </row>
        <row r="25">
          <cell r="B25">
            <v>9</v>
          </cell>
          <cell r="G25">
            <v>9</v>
          </cell>
          <cell r="L25">
            <v>8</v>
          </cell>
        </row>
        <row r="26">
          <cell r="B26">
            <v>-89061.151780001062</v>
          </cell>
          <cell r="G26">
            <v>174216.8323199997</v>
          </cell>
          <cell r="L26">
            <v>18178.989759999837</v>
          </cell>
        </row>
        <row r="27">
          <cell r="B27">
            <v>90538.643760000006</v>
          </cell>
          <cell r="G27">
            <v>38723.51627</v>
          </cell>
          <cell r="L27">
            <v>24964.28327</v>
          </cell>
        </row>
        <row r="28">
          <cell r="B28">
            <v>94195.310900000011</v>
          </cell>
          <cell r="G28">
            <v>61108.046409999995</v>
          </cell>
          <cell r="L28">
            <v>12194.788329999999</v>
          </cell>
        </row>
        <row r="29">
          <cell r="B29">
            <v>-273795.10644000105</v>
          </cell>
          <cell r="G29">
            <v>74385.269639999708</v>
          </cell>
          <cell r="L29">
            <v>-18980.081840000163</v>
          </cell>
        </row>
        <row r="30">
          <cell r="B30">
            <v>-5</v>
          </cell>
          <cell r="G30">
            <v>2</v>
          </cell>
          <cell r="L30">
            <v>-1</v>
          </cell>
        </row>
        <row r="31">
          <cell r="B31">
            <v>525.08780000000002</v>
          </cell>
          <cell r="G31">
            <v>0</v>
          </cell>
          <cell r="L31">
            <v>1814.5145000000002</v>
          </cell>
        </row>
        <row r="32">
          <cell r="B32">
            <v>-274320.19424000103</v>
          </cell>
          <cell r="G32">
            <v>74385.269639999708</v>
          </cell>
          <cell r="L32">
            <v>-20794.596340000164</v>
          </cell>
        </row>
        <row r="33">
          <cell r="B33">
            <v>-5</v>
          </cell>
          <cell r="G33">
            <v>2</v>
          </cell>
          <cell r="L33">
            <v>-1</v>
          </cell>
        </row>
        <row r="37">
          <cell r="B37">
            <v>382116.89</v>
          </cell>
          <cell r="G37">
            <v>462189.14</v>
          </cell>
          <cell r="L37">
            <v>19533.2</v>
          </cell>
        </row>
        <row r="38">
          <cell r="B38">
            <v>89.15</v>
          </cell>
          <cell r="G38">
            <v>0</v>
          </cell>
          <cell r="L38">
            <v>0</v>
          </cell>
        </row>
        <row r="39">
          <cell r="B39">
            <v>3819.26</v>
          </cell>
          <cell r="G39">
            <v>11710.2</v>
          </cell>
          <cell r="L39">
            <v>22203.64</v>
          </cell>
        </row>
        <row r="41">
          <cell r="B41">
            <v>3968834.47</v>
          </cell>
          <cell r="G41">
            <v>599328.09</v>
          </cell>
          <cell r="L41">
            <v>263999.08</v>
          </cell>
        </row>
        <row r="42">
          <cell r="B42">
            <v>6.3615798779535595</v>
          </cell>
          <cell r="G42">
            <v>1.175862435385524</v>
          </cell>
          <cell r="L42">
            <v>1.453055970434967</v>
          </cell>
        </row>
        <row r="44">
          <cell r="B44">
            <v>4150159.19</v>
          </cell>
          <cell r="G44">
            <v>315678.37</v>
          </cell>
          <cell r="L44">
            <v>173988.28</v>
          </cell>
        </row>
        <row r="45">
          <cell r="B45">
            <v>7.719325283851016</v>
          </cell>
          <cell r="G45">
            <v>0.8250461363328736</v>
          </cell>
          <cell r="L45">
            <v>1.1945869067565114</v>
          </cell>
        </row>
        <row r="46">
          <cell r="B46">
            <v>436370.27575999993</v>
          </cell>
          <cell r="G46">
            <v>394770.75979222223</v>
          </cell>
          <cell r="L46">
            <v>145537.73527555555</v>
          </cell>
        </row>
        <row r="47">
          <cell r="B47">
            <v>8625.4541699999991</v>
          </cell>
          <cell r="G47">
            <v>2045.83672</v>
          </cell>
          <cell r="L47">
            <v>35.799999999999997</v>
          </cell>
        </row>
        <row r="48">
          <cell r="B48">
            <v>87656.568859999999</v>
          </cell>
          <cell r="G48">
            <v>84272.416790000003</v>
          </cell>
          <cell r="L48">
            <v>29794.841239999994</v>
          </cell>
        </row>
        <row r="52">
          <cell r="B52">
            <v>410273.21579000005</v>
          </cell>
          <cell r="G52">
            <v>173826.74488999997</v>
          </cell>
          <cell r="L52">
            <v>270364.69188</v>
          </cell>
        </row>
        <row r="53">
          <cell r="B53">
            <v>433320.30368000001</v>
          </cell>
          <cell r="G53">
            <v>182570.68505</v>
          </cell>
          <cell r="L53">
            <v>269102.77824000001</v>
          </cell>
        </row>
        <row r="54">
          <cell r="B54">
            <v>-1.8882150082657707</v>
          </cell>
          <cell r="G54">
            <v>-3.3797786121631224</v>
          </cell>
          <cell r="L54">
            <v>0.17698181871221128</v>
          </cell>
        </row>
        <row r="55">
          <cell r="B55">
            <v>-23047.087889999966</v>
          </cell>
          <cell r="G55">
            <v>-8743.9401600000274</v>
          </cell>
          <cell r="L55">
            <v>1261.9136399999843</v>
          </cell>
        </row>
        <row r="56">
          <cell r="B56">
            <v>228216.35483000003</v>
          </cell>
          <cell r="G56">
            <v>70869.629840000009</v>
          </cell>
          <cell r="L56">
            <v>89021.507639999996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ABRECO"/>
    </sheetNames>
    <sheetDataSet>
      <sheetData sheetId="0">
        <row r="5">
          <cell r="U5">
            <v>4165628.7679200005</v>
          </cell>
        </row>
        <row r="6">
          <cell r="U6">
            <v>109713.81602000001</v>
          </cell>
        </row>
        <row r="7">
          <cell r="U7">
            <v>119381.63814</v>
          </cell>
        </row>
        <row r="10">
          <cell r="U10">
            <v>420070.56412</v>
          </cell>
        </row>
        <row r="11">
          <cell r="U11">
            <v>7664.4829699999991</v>
          </cell>
        </row>
        <row r="12">
          <cell r="U12">
            <v>16.420620000000007</v>
          </cell>
        </row>
        <row r="14">
          <cell r="U14">
            <v>52789.524470000004</v>
          </cell>
        </row>
        <row r="16">
          <cell r="U16">
            <v>3083317.27697</v>
          </cell>
        </row>
        <row r="18">
          <cell r="U18">
            <v>369818.24458000006</v>
          </cell>
        </row>
        <row r="21">
          <cell r="U21">
            <v>38750.38854</v>
          </cell>
        </row>
        <row r="22">
          <cell r="U22">
            <v>70951.252380000005</v>
          </cell>
        </row>
        <row r="25">
          <cell r="U25">
            <v>0</v>
          </cell>
        </row>
        <row r="31">
          <cell r="U31">
            <v>411097.36</v>
          </cell>
        </row>
        <row r="32">
          <cell r="U32">
            <v>0</v>
          </cell>
        </row>
        <row r="33">
          <cell r="U33">
            <v>8543.44</v>
          </cell>
        </row>
        <row r="35">
          <cell r="U35">
            <v>551789.25</v>
          </cell>
        </row>
        <row r="38">
          <cell r="U38">
            <v>302601.78000000003</v>
          </cell>
        </row>
        <row r="40">
          <cell r="U40">
            <v>346162.64370333333</v>
          </cell>
        </row>
        <row r="41">
          <cell r="U41">
            <v>2191.62221</v>
          </cell>
        </row>
        <row r="42">
          <cell r="U42">
            <v>114033.16469999999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1612180.6507000001</v>
          </cell>
        </row>
        <row r="6">
          <cell r="U6">
            <v>41732.166659999995</v>
          </cell>
        </row>
        <row r="7">
          <cell r="U7">
            <v>40656.197489999999</v>
          </cell>
        </row>
        <row r="10">
          <cell r="U10">
            <v>161564.67655999999</v>
          </cell>
        </row>
        <row r="11">
          <cell r="U11">
            <v>7867.4601899999998</v>
          </cell>
        </row>
        <row r="12">
          <cell r="U12">
            <v>0</v>
          </cell>
        </row>
        <row r="14">
          <cell r="U14">
            <v>49555.784120000004</v>
          </cell>
        </row>
        <row r="16">
          <cell r="U16">
            <v>1267047.1700199998</v>
          </cell>
        </row>
        <row r="18">
          <cell r="U18">
            <v>116573.21694999997</v>
          </cell>
        </row>
        <row r="21">
          <cell r="U21">
            <v>26672.061760000004</v>
          </cell>
        </row>
        <row r="22">
          <cell r="U22">
            <v>11125.028320000001</v>
          </cell>
        </row>
        <row r="25">
          <cell r="U25">
            <v>1265.2460000000001</v>
          </cell>
        </row>
        <row r="31">
          <cell r="U31">
            <v>11555.72</v>
          </cell>
        </row>
        <row r="32">
          <cell r="U32">
            <v>0</v>
          </cell>
        </row>
        <row r="33">
          <cell r="U33">
            <v>18848.79</v>
          </cell>
        </row>
        <row r="35">
          <cell r="U35">
            <v>255797.77</v>
          </cell>
        </row>
        <row r="38">
          <cell r="U38">
            <v>182155.91</v>
          </cell>
        </row>
        <row r="40">
          <cell r="U40">
            <v>141395.63904444443</v>
          </cell>
        </row>
        <row r="41">
          <cell r="U41">
            <v>42.06</v>
          </cell>
        </row>
        <row r="42">
          <cell r="U42">
            <v>40991.663960000005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35">
          <cell r="X135">
            <v>481442.42979300022</v>
          </cell>
          <cell r="Y135">
            <v>184175.28088999999</v>
          </cell>
          <cell r="Z135">
            <v>294802.69105000002</v>
          </cell>
        </row>
        <row r="136">
          <cell r="X136">
            <v>503971.05767600011</v>
          </cell>
          <cell r="Y136">
            <v>194840.47604999997</v>
          </cell>
          <cell r="Z136">
            <v>294807.69624000002</v>
          </cell>
        </row>
        <row r="137">
          <cell r="X137">
            <v>-0.96363272753371998</v>
          </cell>
          <cell r="Y137">
            <v>-4.1223976647517961</v>
          </cell>
          <cell r="Z137">
            <v>-1.1601252841379041E-3</v>
          </cell>
        </row>
        <row r="138">
          <cell r="X138">
            <v>-22528.627882999892</v>
          </cell>
          <cell r="Y138">
            <v>-10665.195159999974</v>
          </cell>
          <cell r="Z138">
            <v>-5.0051899999962188</v>
          </cell>
        </row>
        <row r="139">
          <cell r="I139">
            <v>-1.0963822808132238</v>
          </cell>
          <cell r="X139">
            <v>374777.66883000004</v>
          </cell>
          <cell r="Y139">
            <v>63250.030840000007</v>
          </cell>
          <cell r="Z139">
            <v>68471.908810000008</v>
          </cell>
        </row>
      </sheetData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39">
          <cell r="I139">
            <v>-1.3925561545286766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  <row r="67">
          <cell r="B67">
            <v>70.42</v>
          </cell>
          <cell r="G67">
            <v>97.59</v>
          </cell>
          <cell r="L67">
            <v>95.79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110">
          <cell r="A110" t="str">
            <v>DANECO/NORDECO</v>
          </cell>
          <cell r="N110">
            <v>70.616752263245772</v>
          </cell>
          <cell r="P110">
            <v>28515.466969999998</v>
          </cell>
          <cell r="S110">
            <v>114729.62942</v>
          </cell>
        </row>
        <row r="111">
          <cell r="A111" t="str">
            <v>DASURECO</v>
          </cell>
          <cell r="N111">
            <v>97.274410638656846</v>
          </cell>
          <cell r="P111">
            <v>108448.02010999998</v>
          </cell>
          <cell r="S111">
            <v>411097.35570000001</v>
          </cell>
        </row>
        <row r="112">
          <cell r="A112" t="str">
            <v>DORECO</v>
          </cell>
          <cell r="N112">
            <v>93.60862314427041</v>
          </cell>
          <cell r="P112">
            <v>28965.37398</v>
          </cell>
          <cell r="S112">
            <v>11555.720439999999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85"/>
  <sheetViews>
    <sheetView tabSelected="1" zoomScale="70" zoomScaleNormal="70" workbookViewId="0">
      <pane xSplit="1" ySplit="9" topLeftCell="N67" activePane="bottomRight" state="frozen"/>
      <selection activeCell="A9" sqref="A9:XFD9"/>
      <selection pane="topRight" activeCell="A9" sqref="A9:XFD9"/>
      <selection pane="bottomLeft" activeCell="A9" sqref="A9:XFD9"/>
      <selection pane="bottomRight" activeCell="R73" sqref="R73"/>
    </sheetView>
  </sheetViews>
  <sheetFormatPr defaultColWidth="12.5703125" defaultRowHeight="15" x14ac:dyDescent="0.2"/>
  <cols>
    <col min="1" max="1" width="46.85546875" style="2" customWidth="1"/>
    <col min="2" max="2" width="18.5703125" style="2" customWidth="1"/>
    <col min="3" max="3" width="16.42578125" style="2" customWidth="1"/>
    <col min="4" max="4" width="16.5703125" style="2" customWidth="1"/>
    <col min="5" max="5" width="11.42578125" style="2" customWidth="1"/>
    <col min="6" max="6" width="1.42578125" style="2" customWidth="1"/>
    <col min="7" max="8" width="16.42578125" style="2" customWidth="1"/>
    <col min="9" max="9" width="16.85546875" style="2" bestFit="1" customWidth="1"/>
    <col min="10" max="10" width="10.5703125" style="2" customWidth="1"/>
    <col min="11" max="11" width="1.5703125" style="2" customWidth="1"/>
    <col min="12" max="12" width="16.5703125" style="2" customWidth="1"/>
    <col min="13" max="13" width="16.140625" style="2" bestFit="1" customWidth="1"/>
    <col min="14" max="14" width="16.140625" style="2" customWidth="1"/>
    <col min="15" max="15" width="11.42578125" style="2" customWidth="1"/>
    <col min="16" max="16" width="1.42578125" style="2" customWidth="1"/>
    <col min="17" max="17" width="16.42578125" style="2" customWidth="1"/>
    <col min="18" max="18" width="17.5703125" style="2" bestFit="1" customWidth="1"/>
    <col min="19" max="19" width="18.140625" style="2" customWidth="1"/>
    <col min="20" max="20" width="10.42578125" style="2" customWidth="1"/>
    <col min="21" max="21" width="6.140625" style="2" customWidth="1"/>
    <col min="22" max="24" width="12.5703125" style="2"/>
    <col min="25" max="25" width="6.140625" style="2" customWidth="1"/>
    <col min="26" max="29" width="12.5703125" style="2"/>
    <col min="30" max="30" width="6.140625" style="2" customWidth="1"/>
    <col min="31" max="34" width="12.5703125" style="2"/>
    <col min="35" max="35" width="6.140625" style="2" customWidth="1"/>
    <col min="36" max="39" width="12.5703125" style="2"/>
    <col min="40" max="40" width="6.140625" style="2" customWidth="1"/>
    <col min="41" max="44" width="12.5703125" style="2"/>
    <col min="45" max="45" width="6.140625" style="2" customWidth="1"/>
    <col min="46" max="16384" width="12.5703125" style="2"/>
  </cols>
  <sheetData>
    <row r="1" spans="1:34" ht="15.75" x14ac:dyDescent="0.25">
      <c r="A1" s="1" t="s">
        <v>0</v>
      </c>
    </row>
    <row r="2" spans="1:34" ht="15.75" x14ac:dyDescent="0.25">
      <c r="A2" s="1" t="str">
        <f>[1]REG1!A2</f>
        <v>Financial Profile as of September 30, 2024</v>
      </c>
    </row>
    <row r="3" spans="1:34" ht="15.75" x14ac:dyDescent="0.25">
      <c r="A3" s="1" t="str">
        <f>[1]REG1!A3</f>
        <v>With Comparative Figures as of September 30, 2023</v>
      </c>
    </row>
    <row r="4" spans="1:34" x14ac:dyDescent="0.2">
      <c r="A4" s="3" t="s">
        <v>1</v>
      </c>
    </row>
    <row r="5" spans="1:34" ht="14.25" customHeight="1" x14ac:dyDescent="0.25">
      <c r="B5" s="4"/>
      <c r="C5" s="4"/>
      <c r="D5" s="4"/>
      <c r="E5" s="4"/>
      <c r="G5" s="4"/>
      <c r="H5" s="4"/>
      <c r="I5" s="4"/>
      <c r="J5" s="4"/>
      <c r="L5" s="5"/>
      <c r="M5" s="5"/>
      <c r="N5" s="5"/>
      <c r="O5" s="5"/>
      <c r="Q5" s="4"/>
      <c r="R5" s="4"/>
      <c r="S5" s="4"/>
      <c r="T5" s="4"/>
    </row>
    <row r="6" spans="1:34" ht="15.75" x14ac:dyDescent="0.25">
      <c r="B6" s="6" t="s">
        <v>2</v>
      </c>
      <c r="C6" s="6"/>
      <c r="D6" s="6"/>
      <c r="E6" s="6"/>
      <c r="F6" s="7"/>
      <c r="G6" s="6" t="s">
        <v>3</v>
      </c>
      <c r="H6" s="6"/>
      <c r="I6" s="6"/>
      <c r="J6" s="6"/>
      <c r="K6" s="7"/>
      <c r="L6" s="6" t="s">
        <v>4</v>
      </c>
      <c r="M6" s="6"/>
      <c r="N6" s="6"/>
      <c r="O6" s="6"/>
      <c r="P6" s="7"/>
      <c r="Q6" s="8" t="s">
        <v>5</v>
      </c>
      <c r="R6" s="8"/>
      <c r="S6" s="8"/>
      <c r="T6" s="9"/>
      <c r="U6" s="10"/>
      <c r="V6" s="8"/>
      <c r="W6" s="8"/>
      <c r="X6" s="9"/>
      <c r="Z6" s="8"/>
      <c r="AA6" s="8"/>
      <c r="AB6" s="8"/>
      <c r="AC6" s="8"/>
      <c r="AD6" s="10"/>
      <c r="AE6" s="8"/>
      <c r="AF6" s="8"/>
      <c r="AG6" s="8"/>
      <c r="AH6" s="8"/>
    </row>
    <row r="8" spans="1:34" x14ac:dyDescent="0.2">
      <c r="B8" s="11">
        <v>2024</v>
      </c>
      <c r="C8" s="11">
        <v>2023</v>
      </c>
      <c r="D8" s="4" t="s">
        <v>6</v>
      </c>
      <c r="E8" s="4"/>
      <c r="F8" s="11"/>
      <c r="G8" s="11">
        <v>2024</v>
      </c>
      <c r="H8" s="11">
        <v>2023</v>
      </c>
      <c r="I8" s="4" t="s">
        <v>6</v>
      </c>
      <c r="J8" s="4"/>
      <c r="K8" s="11"/>
      <c r="L8" s="11">
        <v>2024</v>
      </c>
      <c r="M8" s="11">
        <v>2023</v>
      </c>
      <c r="N8" s="4" t="s">
        <v>6</v>
      </c>
      <c r="O8" s="4"/>
      <c r="P8" s="11"/>
      <c r="Q8" s="11">
        <v>2024</v>
      </c>
      <c r="R8" s="11">
        <v>2023</v>
      </c>
      <c r="S8" s="4" t="s">
        <v>6</v>
      </c>
      <c r="T8" s="4"/>
    </row>
    <row r="9" spans="1:34" x14ac:dyDescent="0.2">
      <c r="B9" s="11" t="str">
        <f>'[1]DON''T DELETE'!$B$5</f>
        <v>September</v>
      </c>
      <c r="C9" s="11" t="str">
        <f>'[1]DON''T DELETE'!$B$5</f>
        <v>September</v>
      </c>
      <c r="D9" s="11" t="s">
        <v>7</v>
      </c>
      <c r="E9" s="11" t="s">
        <v>8</v>
      </c>
      <c r="F9" s="11"/>
      <c r="G9" s="11" t="str">
        <f>'[1]DON''T DELETE'!$B$5</f>
        <v>September</v>
      </c>
      <c r="H9" s="11" t="str">
        <f>'[1]DON''T DELETE'!$B$5</f>
        <v>September</v>
      </c>
      <c r="I9" s="11" t="s">
        <v>7</v>
      </c>
      <c r="J9" s="11" t="s">
        <v>8</v>
      </c>
      <c r="K9" s="11"/>
      <c r="L9" s="11" t="str">
        <f>'[1]DON''T DELETE'!$B$5</f>
        <v>September</v>
      </c>
      <c r="M9" s="11" t="str">
        <f>'[1]DON''T DELETE'!$B$5</f>
        <v>September</v>
      </c>
      <c r="N9" s="11" t="s">
        <v>7</v>
      </c>
      <c r="O9" s="11" t="s">
        <v>8</v>
      </c>
      <c r="P9" s="11"/>
      <c r="Q9" s="11" t="str">
        <f>'[1]DON''T DELETE'!$B$5</f>
        <v>September</v>
      </c>
      <c r="R9" s="11" t="str">
        <f>'[1]DON''T DELETE'!$B$5</f>
        <v>September</v>
      </c>
      <c r="S9" s="11" t="s">
        <v>7</v>
      </c>
      <c r="T9" s="11" t="s">
        <v>8</v>
      </c>
    </row>
    <row r="11" spans="1:34" ht="15.75" x14ac:dyDescent="0.25">
      <c r="A11" s="1" t="s">
        <v>9</v>
      </c>
    </row>
    <row r="12" spans="1:34" ht="14.1" customHeight="1" x14ac:dyDescent="0.2"/>
    <row r="13" spans="1:34" ht="15" customHeight="1" x14ac:dyDescent="0.2">
      <c r="A13" s="12" t="s">
        <v>10</v>
      </c>
      <c r="B13" s="13">
        <f>[2]FP!U5</f>
        <v>5356614.4057900002</v>
      </c>
      <c r="C13" s="13">
        <f>[3]REG11!B13</f>
        <v>5614880.4094700003</v>
      </c>
      <c r="D13" s="14">
        <f t="shared" ref="D13:D22" si="0">B13-C13</f>
        <v>-258266.00368000008</v>
      </c>
      <c r="E13" s="14">
        <f t="shared" ref="E13:E22" si="1">D13/C13*100</f>
        <v>-4.5996706046385469</v>
      </c>
      <c r="F13" s="14"/>
      <c r="G13" s="13">
        <f>[4]FP!U5</f>
        <v>4165628.7679200005</v>
      </c>
      <c r="H13" s="13">
        <f>[3]REG11!G13</f>
        <v>4587231.16555</v>
      </c>
      <c r="I13" s="14">
        <f t="shared" ref="I13:I22" si="2">G13-H13</f>
        <v>-421602.39762999956</v>
      </c>
      <c r="J13" s="14">
        <f t="shared" ref="J13:J22" si="3">I13/H13*100</f>
        <v>-9.1907815938342896</v>
      </c>
      <c r="K13" s="14"/>
      <c r="L13" s="13">
        <f>[5]FP!U5</f>
        <v>1612180.6507000001</v>
      </c>
      <c r="M13" s="13">
        <f>[3]REG11!L13</f>
        <v>1635168.7535399999</v>
      </c>
      <c r="N13" s="14">
        <f t="shared" ref="N13:N22" si="4">L13-M13</f>
        <v>-22988.102839999832</v>
      </c>
      <c r="O13" s="14">
        <f t="shared" ref="O13:O22" si="5">N13/M13*100</f>
        <v>-1.4058550709358018</v>
      </c>
      <c r="P13" s="14"/>
      <c r="Q13" s="13">
        <f t="shared" ref="Q13:R24" si="6">B13+G13+L13</f>
        <v>11134423.824409999</v>
      </c>
      <c r="R13" s="14">
        <f t="shared" si="6"/>
        <v>11837280.32856</v>
      </c>
      <c r="S13" s="14">
        <f t="shared" ref="S13:S22" si="7">Q13-R13</f>
        <v>-702856.50415000133</v>
      </c>
      <c r="T13" s="14">
        <f t="shared" ref="T13:T22" si="8">S13/R13*100</f>
        <v>-5.9376519322112191</v>
      </c>
      <c r="X13" s="15"/>
      <c r="AC13" s="15"/>
      <c r="AH13" s="15"/>
    </row>
    <row r="14" spans="1:34" ht="15" customHeight="1" x14ac:dyDescent="0.2">
      <c r="A14" s="12" t="s">
        <v>11</v>
      </c>
      <c r="B14" s="13">
        <f>[2]FP!U6</f>
        <v>97499.455990000002</v>
      </c>
      <c r="C14" s="13">
        <f>[3]REG11!B14</f>
        <v>88403.562180000008</v>
      </c>
      <c r="D14" s="14">
        <f t="shared" si="0"/>
        <v>9095.8938099999941</v>
      </c>
      <c r="E14" s="14">
        <f t="shared" si="1"/>
        <v>10.289058026281438</v>
      </c>
      <c r="F14" s="14"/>
      <c r="G14" s="13">
        <f>[4]FP!U6</f>
        <v>109713.81602000001</v>
      </c>
      <c r="H14" s="13">
        <f>[3]REG11!G14</f>
        <v>99154.183170000004</v>
      </c>
      <c r="I14" s="14">
        <f t="shared" si="2"/>
        <v>10559.632850000009</v>
      </c>
      <c r="J14" s="14">
        <f t="shared" si="3"/>
        <v>10.649709888583825</v>
      </c>
      <c r="K14" s="14"/>
      <c r="L14" s="13">
        <f>[5]FP!U6</f>
        <v>41732.166659999995</v>
      </c>
      <c r="M14" s="13">
        <f>[3]REG11!L14</f>
        <v>44142.117959999996</v>
      </c>
      <c r="N14" s="14">
        <f t="shared" si="4"/>
        <v>-2409.9513000000006</v>
      </c>
      <c r="O14" s="14">
        <f t="shared" si="5"/>
        <v>-5.4595280230636236</v>
      </c>
      <c r="P14" s="14"/>
      <c r="Q14" s="13">
        <f t="shared" si="6"/>
        <v>248945.43867</v>
      </c>
      <c r="R14" s="14">
        <f t="shared" si="6"/>
        <v>231699.86331000002</v>
      </c>
      <c r="S14" s="14">
        <f t="shared" si="7"/>
        <v>17245.575359999988</v>
      </c>
      <c r="T14" s="14">
        <f t="shared" si="8"/>
        <v>7.4430666956960962</v>
      </c>
      <c r="X14" s="15"/>
      <c r="AC14" s="15"/>
      <c r="AH14" s="15"/>
    </row>
    <row r="15" spans="1:34" ht="15" customHeight="1" x14ac:dyDescent="0.2">
      <c r="A15" s="12" t="s">
        <v>12</v>
      </c>
      <c r="B15" s="13">
        <f>[2]FP!U7</f>
        <v>151459.86530999999</v>
      </c>
      <c r="C15" s="13">
        <f>[3]REG11!B15</f>
        <v>106341.74076</v>
      </c>
      <c r="D15" s="14">
        <f t="shared" si="0"/>
        <v>45118.124549999993</v>
      </c>
      <c r="E15" s="14">
        <f t="shared" si="1"/>
        <v>42.427483533324846</v>
      </c>
      <c r="F15" s="14"/>
      <c r="G15" s="13">
        <f>[4]FP!U7</f>
        <v>119381.63814</v>
      </c>
      <c r="H15" s="13">
        <f>[3]REG11!G15</f>
        <v>85421.202179999993</v>
      </c>
      <c r="I15" s="14">
        <f t="shared" si="2"/>
        <v>33960.435960000003</v>
      </c>
      <c r="J15" s="14">
        <f t="shared" si="3"/>
        <v>39.756448157260067</v>
      </c>
      <c r="K15" s="14"/>
      <c r="L15" s="13">
        <f>[5]FP!U7</f>
        <v>40656.197489999999</v>
      </c>
      <c r="M15" s="13">
        <f>[3]REG11!L15</f>
        <v>30333.497200000002</v>
      </c>
      <c r="N15" s="14">
        <f t="shared" si="4"/>
        <v>10322.700289999997</v>
      </c>
      <c r="O15" s="14">
        <f t="shared" si="5"/>
        <v>34.030696236370652</v>
      </c>
      <c r="P15" s="14"/>
      <c r="Q15" s="13">
        <f t="shared" si="6"/>
        <v>311497.70093999995</v>
      </c>
      <c r="R15" s="14">
        <f t="shared" si="6"/>
        <v>222096.44013999999</v>
      </c>
      <c r="S15" s="14">
        <f t="shared" si="7"/>
        <v>89401.26079999996</v>
      </c>
      <c r="T15" s="14">
        <f t="shared" si="8"/>
        <v>40.253351536677165</v>
      </c>
    </row>
    <row r="16" spans="1:34" ht="15" customHeight="1" x14ac:dyDescent="0.2">
      <c r="A16" s="12" t="s">
        <v>13</v>
      </c>
      <c r="B16" s="13">
        <f>[2]FP!U10</f>
        <v>520663.45779000001</v>
      </c>
      <c r="C16" s="13">
        <f>[3]REG11!B16</f>
        <v>579115.39515</v>
      </c>
      <c r="D16" s="14">
        <f t="shared" si="0"/>
        <v>-58451.937359999982</v>
      </c>
      <c r="E16" s="14">
        <f t="shared" si="1"/>
        <v>-10.09331436351472</v>
      </c>
      <c r="F16" s="14"/>
      <c r="G16" s="13">
        <f>[4]FP!U10</f>
        <v>420070.56412</v>
      </c>
      <c r="H16" s="13">
        <f>[3]REG11!G16</f>
        <v>466855.08583000005</v>
      </c>
      <c r="I16" s="14">
        <f t="shared" si="2"/>
        <v>-46784.521710000059</v>
      </c>
      <c r="J16" s="14">
        <f t="shared" si="3"/>
        <v>-10.021208535583161</v>
      </c>
      <c r="K16" s="14"/>
      <c r="L16" s="13">
        <f>[5]FP!U10</f>
        <v>161564.67655999999</v>
      </c>
      <c r="M16" s="13">
        <f>[3]REG11!L16</f>
        <v>157757.72972</v>
      </c>
      <c r="N16" s="14">
        <f t="shared" si="4"/>
        <v>3806.9468399999896</v>
      </c>
      <c r="O16" s="14">
        <f t="shared" si="5"/>
        <v>2.4131602595681607</v>
      </c>
      <c r="P16" s="14"/>
      <c r="Q16" s="13">
        <f t="shared" si="6"/>
        <v>1102298.6984699999</v>
      </c>
      <c r="R16" s="14">
        <f t="shared" si="6"/>
        <v>1203728.2106999999</v>
      </c>
      <c r="S16" s="14">
        <f t="shared" si="7"/>
        <v>-101429.51222999999</v>
      </c>
      <c r="T16" s="14">
        <f t="shared" si="8"/>
        <v>-8.4262802290739742</v>
      </c>
    </row>
    <row r="17" spans="1:34" ht="15" customHeight="1" x14ac:dyDescent="0.2">
      <c r="A17" s="16" t="s">
        <v>14</v>
      </c>
      <c r="B17" s="13">
        <f>[2]FP!U11</f>
        <v>14043.065329999999</v>
      </c>
      <c r="C17" s="13">
        <f>[3]REG11!B17</f>
        <v>12859.629799999999</v>
      </c>
      <c r="D17" s="14">
        <f>B17-C17</f>
        <v>1183.4355300000007</v>
      </c>
      <c r="E17" s="14">
        <f>D17/C17*100</f>
        <v>9.2027184950534178</v>
      </c>
      <c r="F17" s="14"/>
      <c r="G17" s="13">
        <f>[4]FP!U11</f>
        <v>7664.4829699999991</v>
      </c>
      <c r="H17" s="13">
        <f>[3]REG11!G17</f>
        <v>7622.5941899999998</v>
      </c>
      <c r="I17" s="14">
        <f t="shared" si="2"/>
        <v>41.888779999999315</v>
      </c>
      <c r="J17" s="14">
        <f t="shared" si="3"/>
        <v>0.54953443612350183</v>
      </c>
      <c r="K17" s="14"/>
      <c r="L17" s="13">
        <f>[5]FP!U11</f>
        <v>7867.4601899999998</v>
      </c>
      <c r="M17" s="13">
        <f>[3]REG11!L17</f>
        <v>46.878789999999995</v>
      </c>
      <c r="N17" s="14">
        <f t="shared" si="4"/>
        <v>7820.5814</v>
      </c>
      <c r="O17" s="14">
        <f t="shared" si="5"/>
        <v>16682.558146232019</v>
      </c>
      <c r="P17" s="14"/>
      <c r="Q17" s="13">
        <f>B17+G17+L17</f>
        <v>29575.00849</v>
      </c>
      <c r="R17" s="14">
        <f>C17+H17+M17</f>
        <v>20529.102779999997</v>
      </c>
      <c r="S17" s="14">
        <f>Q17-R17</f>
        <v>9045.9057100000027</v>
      </c>
      <c r="T17" s="14">
        <f>S17/R17*100</f>
        <v>44.063814219941293</v>
      </c>
    </row>
    <row r="18" spans="1:34" ht="15" customHeight="1" x14ac:dyDescent="0.2">
      <c r="A18" s="17" t="s">
        <v>15</v>
      </c>
      <c r="B18" s="13">
        <f>[2]FP!U12</f>
        <v>0</v>
      </c>
      <c r="C18" s="13">
        <f>[3]REG11!B18</f>
        <v>0</v>
      </c>
      <c r="D18" s="14">
        <f t="shared" si="0"/>
        <v>0</v>
      </c>
      <c r="E18" s="14"/>
      <c r="F18" s="14"/>
      <c r="G18" s="13">
        <f>[4]FP!U12</f>
        <v>16.420620000000007</v>
      </c>
      <c r="H18" s="13">
        <f>[3]REG11!G18</f>
        <v>-3.9224099999999997</v>
      </c>
      <c r="I18" s="14">
        <f t="shared" si="2"/>
        <v>20.343030000000006</v>
      </c>
      <c r="J18" s="14">
        <f t="shared" si="3"/>
        <v>-518.63599164799211</v>
      </c>
      <c r="K18" s="14"/>
      <c r="L18" s="13">
        <f>[5]FP!U12</f>
        <v>0</v>
      </c>
      <c r="M18" s="13">
        <f>[3]REG11!L18</f>
        <v>0</v>
      </c>
      <c r="N18" s="14">
        <f t="shared" si="4"/>
        <v>0</v>
      </c>
      <c r="O18" s="14"/>
      <c r="P18" s="14"/>
      <c r="Q18" s="13">
        <f t="shared" si="6"/>
        <v>16.420620000000007</v>
      </c>
      <c r="R18" s="14">
        <f t="shared" si="6"/>
        <v>-3.9224099999999997</v>
      </c>
      <c r="S18" s="14">
        <f t="shared" si="7"/>
        <v>20.343030000000006</v>
      </c>
      <c r="T18" s="14">
        <f>S18/R18*100</f>
        <v>-518.63599164799211</v>
      </c>
    </row>
    <row r="19" spans="1:34" ht="15" customHeight="1" x14ac:dyDescent="0.2">
      <c r="A19" s="12" t="s">
        <v>16</v>
      </c>
      <c r="B19" s="14">
        <f>B13-B14-B15-B16-B17-B18</f>
        <v>4572948.5613700002</v>
      </c>
      <c r="C19" s="14">
        <f>[3]REG11!B19</f>
        <v>4828160.0815799991</v>
      </c>
      <c r="D19" s="14">
        <f t="shared" si="0"/>
        <v>-255211.52020999882</v>
      </c>
      <c r="E19" s="14">
        <f t="shared" si="1"/>
        <v>-5.2858959913872976</v>
      </c>
      <c r="F19" s="14"/>
      <c r="G19" s="14">
        <f>G13-G14-G15-G16-G17-G18</f>
        <v>3508781.8460500012</v>
      </c>
      <c r="H19" s="14">
        <f>[3]REG11!G19</f>
        <v>3928182.0225899997</v>
      </c>
      <c r="I19" s="14">
        <f t="shared" si="2"/>
        <v>-419400.1765399985</v>
      </c>
      <c r="J19" s="14">
        <f t="shared" si="3"/>
        <v>-10.676699148057097</v>
      </c>
      <c r="K19" s="14"/>
      <c r="L19" s="14">
        <f>L13-L14-L15-L16-L17-L18</f>
        <v>1360360.1498</v>
      </c>
      <c r="M19" s="14">
        <f>[3]REG11!L19</f>
        <v>1402888.52987</v>
      </c>
      <c r="N19" s="14">
        <f t="shared" si="4"/>
        <v>-42528.380069999956</v>
      </c>
      <c r="O19" s="14">
        <f t="shared" si="5"/>
        <v>-3.0314867620979755</v>
      </c>
      <c r="P19" s="14"/>
      <c r="Q19" s="13">
        <f>Q13-Q14-Q15-Q16-Q18-Q17</f>
        <v>9442090.5572199989</v>
      </c>
      <c r="R19" s="13">
        <f>R13-R14-R15-R16-R18-R17</f>
        <v>10159230.634040002</v>
      </c>
      <c r="S19" s="14">
        <f t="shared" si="7"/>
        <v>-717140.07682000287</v>
      </c>
      <c r="T19" s="14">
        <f t="shared" si="8"/>
        <v>-7.0589998657685671</v>
      </c>
    </row>
    <row r="20" spans="1:34" ht="15" customHeight="1" x14ac:dyDescent="0.2">
      <c r="A20" s="12" t="s">
        <v>17</v>
      </c>
      <c r="B20" s="14">
        <f>[2]FP!$U$14</f>
        <v>332485.37604</v>
      </c>
      <c r="C20" s="14">
        <f>[3]REG11!B20</f>
        <v>362971.48817000003</v>
      </c>
      <c r="D20" s="14">
        <f t="shared" si="0"/>
        <v>-30486.112130000023</v>
      </c>
      <c r="E20" s="14">
        <f t="shared" si="1"/>
        <v>-8.3990376995456071</v>
      </c>
      <c r="F20" s="14"/>
      <c r="G20" s="14">
        <f>[4]FP!$U$14</f>
        <v>52789.524470000004</v>
      </c>
      <c r="H20" s="14">
        <f>[3]REG11!G20</f>
        <v>42333.617809999996</v>
      </c>
      <c r="I20" s="14">
        <f t="shared" si="2"/>
        <v>10455.906660000008</v>
      </c>
      <c r="J20" s="14">
        <f t="shared" si="3"/>
        <v>24.698826136069396</v>
      </c>
      <c r="K20" s="14"/>
      <c r="L20" s="14">
        <f>[5]FP!$U$14</f>
        <v>49555.784120000004</v>
      </c>
      <c r="M20" s="13">
        <f>[3]REG11!L20</f>
        <v>36904.826690000002</v>
      </c>
      <c r="N20" s="14">
        <f t="shared" si="4"/>
        <v>12650.957430000002</v>
      </c>
      <c r="O20" s="14">
        <f t="shared" si="5"/>
        <v>34.279953503827173</v>
      </c>
      <c r="P20" s="14"/>
      <c r="Q20" s="13">
        <f t="shared" si="6"/>
        <v>434830.68463000003</v>
      </c>
      <c r="R20" s="14">
        <f t="shared" si="6"/>
        <v>442209.93267000001</v>
      </c>
      <c r="S20" s="14">
        <f t="shared" si="7"/>
        <v>-7379.2480399999768</v>
      </c>
      <c r="T20" s="14">
        <f t="shared" si="8"/>
        <v>-1.6687205543858181</v>
      </c>
    </row>
    <row r="21" spans="1:34" ht="15" customHeight="1" x14ac:dyDescent="0.2">
      <c r="A21" s="12" t="s">
        <v>18</v>
      </c>
      <c r="B21" s="14">
        <f>B19+B20</f>
        <v>4905433.9374100007</v>
      </c>
      <c r="C21" s="14">
        <f>[3]REG11!B21</f>
        <v>5191131.5697499989</v>
      </c>
      <c r="D21" s="14">
        <f t="shared" si="0"/>
        <v>-285697.63233999815</v>
      </c>
      <c r="E21" s="14">
        <f t="shared" si="1"/>
        <v>-5.5035713986682318</v>
      </c>
      <c r="F21" s="14"/>
      <c r="G21" s="14">
        <f>G19+G20</f>
        <v>3561571.3705200013</v>
      </c>
      <c r="H21" s="14">
        <f>[3]REG11!G21</f>
        <v>3970515.6403999999</v>
      </c>
      <c r="I21" s="14">
        <f t="shared" si="2"/>
        <v>-408944.26987999864</v>
      </c>
      <c r="J21" s="14">
        <f t="shared" si="3"/>
        <v>-10.299525475205042</v>
      </c>
      <c r="K21" s="14"/>
      <c r="L21" s="14">
        <f>L19+L20</f>
        <v>1409915.93392</v>
      </c>
      <c r="M21" s="14">
        <f>[3]REG11!L21</f>
        <v>1439793.35656</v>
      </c>
      <c r="N21" s="14">
        <f t="shared" si="4"/>
        <v>-29877.422640000004</v>
      </c>
      <c r="O21" s="14">
        <f t="shared" si="5"/>
        <v>-2.0751188011718633</v>
      </c>
      <c r="P21" s="14"/>
      <c r="Q21" s="13">
        <f>Q19+Q20</f>
        <v>9876921.2418499999</v>
      </c>
      <c r="R21" s="14">
        <f>R19+R20</f>
        <v>10601440.566710003</v>
      </c>
      <c r="S21" s="14">
        <f t="shared" si="7"/>
        <v>-724519.32486000285</v>
      </c>
      <c r="T21" s="14">
        <f t="shared" si="8"/>
        <v>-6.834159190922545</v>
      </c>
    </row>
    <row r="22" spans="1:34" ht="15" customHeight="1" x14ac:dyDescent="0.2">
      <c r="A22" s="12" t="s">
        <v>19</v>
      </c>
      <c r="B22" s="14">
        <f>[2]FP!$U$16</f>
        <v>4325680.1516500004</v>
      </c>
      <c r="C22" s="14">
        <f>[3]REG11!B22</f>
        <v>4838691.37995</v>
      </c>
      <c r="D22" s="14">
        <f t="shared" si="0"/>
        <v>-513011.22829999961</v>
      </c>
      <c r="E22" s="14">
        <f t="shared" si="1"/>
        <v>-10.602272143781585</v>
      </c>
      <c r="F22" s="14"/>
      <c r="G22" s="14">
        <f>[4]FP!$U$16</f>
        <v>3083317.27697</v>
      </c>
      <c r="H22" s="14">
        <f>[3]REG11!G22</f>
        <v>3443571.4621100002</v>
      </c>
      <c r="I22" s="14">
        <f t="shared" si="2"/>
        <v>-360254.18514000019</v>
      </c>
      <c r="J22" s="14">
        <f t="shared" si="3"/>
        <v>-10.4616439386816</v>
      </c>
      <c r="K22" s="14"/>
      <c r="L22" s="14">
        <f>[5]FP!$U$16</f>
        <v>1267047.1700199998</v>
      </c>
      <c r="M22" s="13">
        <f>[3]REG11!L22</f>
        <v>1310825.1154800002</v>
      </c>
      <c r="N22" s="14">
        <f t="shared" si="4"/>
        <v>-43777.945460000308</v>
      </c>
      <c r="O22" s="14">
        <f t="shared" si="5"/>
        <v>-3.3397243417913627</v>
      </c>
      <c r="P22" s="14"/>
      <c r="Q22" s="13">
        <f t="shared" si="6"/>
        <v>8676044.5986400004</v>
      </c>
      <c r="R22" s="14">
        <f t="shared" si="6"/>
        <v>9593087.9575399999</v>
      </c>
      <c r="S22" s="14">
        <f t="shared" si="7"/>
        <v>-917043.35889999941</v>
      </c>
      <c r="T22" s="14">
        <f t="shared" si="8"/>
        <v>-9.5594178116465542</v>
      </c>
      <c r="X22" s="15"/>
      <c r="AC22" s="15"/>
      <c r="AH22" s="15"/>
    </row>
    <row r="23" spans="1:34" ht="15" customHeight="1" x14ac:dyDescent="0.2">
      <c r="A23" s="12" t="s">
        <v>20</v>
      </c>
      <c r="B23" s="14">
        <f>ROUND((B22/B21*100),0)</f>
        <v>88</v>
      </c>
      <c r="C23" s="14">
        <f>[3]REG11!B23</f>
        <v>93</v>
      </c>
      <c r="D23" s="13"/>
      <c r="E23" s="14">
        <f>B23-C23</f>
        <v>-5</v>
      </c>
      <c r="F23" s="14"/>
      <c r="G23" s="14">
        <f>ROUND((G22/G21*100),0)</f>
        <v>87</v>
      </c>
      <c r="H23" s="14">
        <f>[3]REG11!G23</f>
        <v>87</v>
      </c>
      <c r="I23" s="13"/>
      <c r="J23" s="14">
        <f>G23-H23</f>
        <v>0</v>
      </c>
      <c r="K23" s="14"/>
      <c r="L23" s="14">
        <f>ROUND((L22/L21*100),0)</f>
        <v>90</v>
      </c>
      <c r="M23" s="14">
        <f>[3]REG11!L23</f>
        <v>91</v>
      </c>
      <c r="N23" s="13"/>
      <c r="O23" s="14">
        <f>L23-M23</f>
        <v>-1</v>
      </c>
      <c r="P23" s="14"/>
      <c r="Q23" s="13">
        <f>ROUND((Q22/Q21*100),0)</f>
        <v>88</v>
      </c>
      <c r="R23" s="14">
        <f>ROUND((R22/R21*100),0)</f>
        <v>90</v>
      </c>
      <c r="S23" s="13"/>
      <c r="T23" s="14">
        <f>Q23-R23</f>
        <v>-2</v>
      </c>
      <c r="V23" s="15"/>
      <c r="X23" s="15"/>
      <c r="Z23" s="15"/>
      <c r="AA23" s="15"/>
      <c r="AC23" s="15"/>
      <c r="AE23" s="15"/>
      <c r="AF23" s="15"/>
      <c r="AH23" s="15"/>
    </row>
    <row r="24" spans="1:34" ht="15" customHeight="1" x14ac:dyDescent="0.2">
      <c r="A24" s="12" t="s">
        <v>21</v>
      </c>
      <c r="B24" s="14">
        <f>[2]FP!$U$18</f>
        <v>434406.01913000003</v>
      </c>
      <c r="C24" s="14">
        <f>[3]REG11!B24</f>
        <v>441501.34157999995</v>
      </c>
      <c r="D24" s="14">
        <f>B24-C24</f>
        <v>-7095.3224499999196</v>
      </c>
      <c r="E24" s="14">
        <f>D24/C24*100</f>
        <v>-1.6070896692200083</v>
      </c>
      <c r="F24" s="14"/>
      <c r="G24" s="14">
        <f>[4]FP!$U$18</f>
        <v>369818.24458000006</v>
      </c>
      <c r="H24" s="14">
        <f>[3]REG11!G24</f>
        <v>352727.34597000002</v>
      </c>
      <c r="I24" s="14">
        <f>G24-H24</f>
        <v>17090.898610000033</v>
      </c>
      <c r="J24" s="14">
        <f>I24/H24*100</f>
        <v>4.8453568472271602</v>
      </c>
      <c r="K24" s="14"/>
      <c r="L24" s="14">
        <f>[5]FP!$U$18</f>
        <v>116573.21694999997</v>
      </c>
      <c r="M24" s="13">
        <f>[3]REG11!L24</f>
        <v>110789.25132</v>
      </c>
      <c r="N24" s="14">
        <f>L24-M24</f>
        <v>5783.965629999977</v>
      </c>
      <c r="O24" s="14">
        <f>N24/M24*100</f>
        <v>5.2206920446585228</v>
      </c>
      <c r="P24" s="14"/>
      <c r="Q24" s="13">
        <f t="shared" si="6"/>
        <v>920797.48066000012</v>
      </c>
      <c r="R24" s="14">
        <f t="shared" si="6"/>
        <v>905017.93886999995</v>
      </c>
      <c r="S24" s="14">
        <f>Q24-R24</f>
        <v>15779.541790000163</v>
      </c>
      <c r="T24" s="14">
        <f>S24/R24*100</f>
        <v>1.7435612171071886</v>
      </c>
      <c r="X24" s="15"/>
      <c r="AC24" s="15"/>
      <c r="AH24" s="15"/>
    </row>
    <row r="25" spans="1:34" ht="15" customHeight="1" x14ac:dyDescent="0.2">
      <c r="A25" s="12" t="s">
        <v>20</v>
      </c>
      <c r="B25" s="14">
        <f>ROUND((B24/B21*100),0)</f>
        <v>9</v>
      </c>
      <c r="C25" s="14">
        <f>[3]REG11!B25</f>
        <v>9</v>
      </c>
      <c r="D25" s="13"/>
      <c r="E25" s="14">
        <f>B25-C25</f>
        <v>0</v>
      </c>
      <c r="F25" s="14"/>
      <c r="G25" s="14">
        <f>ROUND((G24/G21*100),0)</f>
        <v>10</v>
      </c>
      <c r="H25" s="14">
        <f>[3]REG11!G25</f>
        <v>9</v>
      </c>
      <c r="I25" s="13"/>
      <c r="J25" s="14">
        <f>G25-H25</f>
        <v>1</v>
      </c>
      <c r="K25" s="14"/>
      <c r="L25" s="14">
        <f>ROUND((L24/L21*100),0)</f>
        <v>8</v>
      </c>
      <c r="M25" s="14">
        <f>[3]REG11!L25</f>
        <v>8</v>
      </c>
      <c r="N25" s="13"/>
      <c r="O25" s="14">
        <f>L25-M25</f>
        <v>0</v>
      </c>
      <c r="P25" s="14"/>
      <c r="Q25" s="13">
        <f>ROUND((Q24/Q21*100),0)</f>
        <v>9</v>
      </c>
      <c r="R25" s="14">
        <f>ROUND((R24/R21*100),0)</f>
        <v>9</v>
      </c>
      <c r="S25" s="13"/>
      <c r="T25" s="14">
        <f>Q25-R25</f>
        <v>0</v>
      </c>
      <c r="V25" s="15"/>
      <c r="X25" s="15"/>
      <c r="Z25" s="15"/>
      <c r="AA25" s="15"/>
      <c r="AC25" s="15"/>
      <c r="AE25" s="15"/>
      <c r="AF25" s="15"/>
      <c r="AH25" s="15"/>
    </row>
    <row r="26" spans="1:34" ht="15" customHeight="1" x14ac:dyDescent="0.2">
      <c r="A26" s="12" t="s">
        <v>22</v>
      </c>
      <c r="B26" s="14">
        <f>B21-B22-B24</f>
        <v>145347.76663000032</v>
      </c>
      <c r="C26" s="14">
        <f>[3]REG11!B26</f>
        <v>-89061.151780001062</v>
      </c>
      <c r="D26" s="14">
        <f>B26-C26</f>
        <v>234408.91841000138</v>
      </c>
      <c r="E26" s="14">
        <f>D26/C26*100</f>
        <v>-263.19996286263904</v>
      </c>
      <c r="F26" s="14"/>
      <c r="G26" s="14">
        <f>G21-G22-G24</f>
        <v>108435.84897000121</v>
      </c>
      <c r="H26" s="14">
        <f>[3]REG11!G26</f>
        <v>174216.8323199997</v>
      </c>
      <c r="I26" s="14">
        <f>G26-H26</f>
        <v>-65780.983349998482</v>
      </c>
      <c r="J26" s="14">
        <f>I26/H26*100</f>
        <v>-37.758110094191501</v>
      </c>
      <c r="K26" s="14"/>
      <c r="L26" s="14">
        <f>L21-L22-L24</f>
        <v>26295.546950000164</v>
      </c>
      <c r="M26" s="14">
        <f>[3]REG11!L26</f>
        <v>18178.989759999837</v>
      </c>
      <c r="N26" s="14">
        <f>L26-M26</f>
        <v>8116.557190000327</v>
      </c>
      <c r="O26" s="14">
        <f>N26/M26*100</f>
        <v>44.648010132332018</v>
      </c>
      <c r="P26" s="14"/>
      <c r="Q26" s="13">
        <f>Q21-Q22-Q24</f>
        <v>280079.16254999931</v>
      </c>
      <c r="R26" s="13">
        <f>R21-R22-R24</f>
        <v>103334.67030000291</v>
      </c>
      <c r="S26" s="14">
        <f>Q26-R26</f>
        <v>176744.4922499964</v>
      </c>
      <c r="T26" s="14">
        <f>S26/R26*100</f>
        <v>171.04084402347141</v>
      </c>
      <c r="X26" s="15"/>
      <c r="AC26" s="15"/>
      <c r="AH26" s="15"/>
    </row>
    <row r="27" spans="1:34" ht="15" customHeight="1" x14ac:dyDescent="0.2">
      <c r="A27" s="12" t="s">
        <v>23</v>
      </c>
      <c r="B27" s="14">
        <f>[2]FP!U21</f>
        <v>88439.178750000006</v>
      </c>
      <c r="C27" s="14">
        <f>[3]REG11!B27</f>
        <v>90538.643760000006</v>
      </c>
      <c r="D27" s="14">
        <f>B27-C27</f>
        <v>-2099.4650099999999</v>
      </c>
      <c r="E27" s="14">
        <f>D27/C27*100</f>
        <v>-2.3188606796068929</v>
      </c>
      <c r="F27" s="14"/>
      <c r="G27" s="14">
        <f>[4]FP!U21</f>
        <v>38750.38854</v>
      </c>
      <c r="H27" s="14">
        <f>[3]REG11!G27</f>
        <v>38723.51627</v>
      </c>
      <c r="I27" s="14">
        <f>G27-H27</f>
        <v>26.872269999999844</v>
      </c>
      <c r="J27" s="14">
        <f>I27/H27*100</f>
        <v>6.9395221788829162E-2</v>
      </c>
      <c r="K27" s="14"/>
      <c r="L27" s="14">
        <f>[5]FP!U21</f>
        <v>26672.061760000004</v>
      </c>
      <c r="M27" s="13">
        <f>[3]REG11!L27</f>
        <v>24964.28327</v>
      </c>
      <c r="N27" s="14">
        <f>L27-M27</f>
        <v>1707.7784900000042</v>
      </c>
      <c r="O27" s="14">
        <f>N27/M27*100</f>
        <v>6.8408873250219466</v>
      </c>
      <c r="P27" s="14"/>
      <c r="Q27" s="13">
        <f>B27+G27+L27</f>
        <v>153861.62905000002</v>
      </c>
      <c r="R27" s="14">
        <f>C27+H27+M27</f>
        <v>154226.44329999998</v>
      </c>
      <c r="S27" s="14">
        <f>Q27-R27</f>
        <v>-364.81424999996671</v>
      </c>
      <c r="T27" s="14">
        <f>S27/R27*100</f>
        <v>-0.23654455240878056</v>
      </c>
      <c r="X27" s="15"/>
      <c r="AC27" s="15"/>
      <c r="AH27" s="15"/>
    </row>
    <row r="28" spans="1:34" ht="15" customHeight="1" x14ac:dyDescent="0.2">
      <c r="A28" s="12" t="s">
        <v>24</v>
      </c>
      <c r="B28" s="14">
        <f>[2]FP!U22</f>
        <v>125300.16979000001</v>
      </c>
      <c r="C28" s="14">
        <f>[3]REG11!B28</f>
        <v>94195.310900000011</v>
      </c>
      <c r="D28" s="14">
        <f>B28-C28</f>
        <v>31104.858890000003</v>
      </c>
      <c r="E28" s="14">
        <f>D28/C28*100</f>
        <v>33.021663809806476</v>
      </c>
      <c r="F28" s="14"/>
      <c r="G28" s="14">
        <f>[4]FP!U22</f>
        <v>70951.252380000005</v>
      </c>
      <c r="H28" s="14">
        <f>[3]REG11!G28</f>
        <v>61108.046409999995</v>
      </c>
      <c r="I28" s="14">
        <f>G28-H28</f>
        <v>9843.20597000001</v>
      </c>
      <c r="J28" s="14">
        <f>I28/H28*100</f>
        <v>16.107872118767691</v>
      </c>
      <c r="K28" s="14"/>
      <c r="L28" s="14">
        <f>[5]FP!U22</f>
        <v>11125.028320000001</v>
      </c>
      <c r="M28" s="13">
        <f>[3]REG11!L28</f>
        <v>12194.788329999999</v>
      </c>
      <c r="N28" s="14">
        <f>L28-M28</f>
        <v>-1069.7600099999981</v>
      </c>
      <c r="O28" s="14">
        <f>N28/M28*100</f>
        <v>-8.7722720645205179</v>
      </c>
      <c r="P28" s="14"/>
      <c r="Q28" s="13">
        <f>B28+G28+L28</f>
        <v>207376.45049000005</v>
      </c>
      <c r="R28" s="14">
        <f>C28+H28+M28</f>
        <v>167498.14564</v>
      </c>
      <c r="S28" s="14">
        <f>Q28-R28</f>
        <v>39878.304850000044</v>
      </c>
      <c r="T28" s="14">
        <f>S28/R28*100</f>
        <v>23.808206770067525</v>
      </c>
      <c r="X28" s="15"/>
      <c r="AC28" s="15"/>
      <c r="AH28" s="15"/>
    </row>
    <row r="29" spans="1:34" ht="15" customHeight="1" x14ac:dyDescent="0.2">
      <c r="A29" s="12" t="s">
        <v>25</v>
      </c>
      <c r="B29" s="14">
        <f>B26-B27-B28</f>
        <v>-68391.581909999702</v>
      </c>
      <c r="C29" s="14">
        <f>[3]REG11!B29</f>
        <v>-273795.10644000105</v>
      </c>
      <c r="D29" s="14">
        <f>B29-C29</f>
        <v>205403.52453000133</v>
      </c>
      <c r="E29" s="14">
        <f>D29/C29*100</f>
        <v>-75.020889599067061</v>
      </c>
      <c r="F29" s="14"/>
      <c r="G29" s="14">
        <f>G26-G27-G28</f>
        <v>-1265.7919499987911</v>
      </c>
      <c r="H29" s="14">
        <f>[3]REG11!G29</f>
        <v>74385.269639999708</v>
      </c>
      <c r="I29" s="14">
        <f>G29-H29</f>
        <v>-75651.061589998499</v>
      </c>
      <c r="J29" s="14">
        <f>I29/H29*100</f>
        <v>-101.70167017761018</v>
      </c>
      <c r="K29" s="14"/>
      <c r="L29" s="14">
        <f>L26-L27-L28</f>
        <v>-11501.543129999842</v>
      </c>
      <c r="M29" s="14">
        <f>[3]REG11!L29</f>
        <v>-18980.081840000163</v>
      </c>
      <c r="N29" s="14">
        <f>L29-M29</f>
        <v>7478.5387100003209</v>
      </c>
      <c r="O29" s="14">
        <f>N29/M29*100</f>
        <v>-39.402036161084631</v>
      </c>
      <c r="P29" s="14"/>
      <c r="Q29" s="13">
        <f>Q26-Q27-Q28</f>
        <v>-81158.916990000755</v>
      </c>
      <c r="R29" s="13">
        <f>R26-R27-R28</f>
        <v>-218389.91863999708</v>
      </c>
      <c r="S29" s="14">
        <f>Q29-R29</f>
        <v>137231.00164999632</v>
      </c>
      <c r="T29" s="14">
        <f>S29/R29*100</f>
        <v>-62.837608303803414</v>
      </c>
    </row>
    <row r="30" spans="1:34" ht="15" customHeight="1" x14ac:dyDescent="0.2">
      <c r="A30" s="12" t="s">
        <v>20</v>
      </c>
      <c r="B30" s="14">
        <f>ROUND((B29/B21*100),0)</f>
        <v>-1</v>
      </c>
      <c r="C30" s="14">
        <f>[3]REG11!B30</f>
        <v>-5</v>
      </c>
      <c r="D30" s="13"/>
      <c r="E30" s="14">
        <f>B30-C30</f>
        <v>4</v>
      </c>
      <c r="F30" s="14"/>
      <c r="G30" s="14">
        <f>ROUND((G29/G21*100),0)</f>
        <v>0</v>
      </c>
      <c r="H30" s="14">
        <f>[3]REG11!G30</f>
        <v>2</v>
      </c>
      <c r="I30" s="13"/>
      <c r="J30" s="14">
        <v>0</v>
      </c>
      <c r="K30" s="14"/>
      <c r="L30" s="14">
        <f>ROUND((L29/L21*100),0)</f>
        <v>-1</v>
      </c>
      <c r="M30" s="14">
        <f>[3]REG11!L30</f>
        <v>-1</v>
      </c>
      <c r="N30" s="13"/>
      <c r="O30" s="14">
        <f>L30-M30</f>
        <v>0</v>
      </c>
      <c r="P30" s="14"/>
      <c r="Q30" s="13">
        <f>ROUND((Q29/Q21*100),0)</f>
        <v>-1</v>
      </c>
      <c r="R30" s="14">
        <f>ROUND((R29/R21*100),0)</f>
        <v>-2</v>
      </c>
      <c r="S30" s="13"/>
      <c r="T30" s="14">
        <f>Q30-R30</f>
        <v>1</v>
      </c>
    </row>
    <row r="31" spans="1:34" ht="15" customHeight="1" x14ac:dyDescent="0.2">
      <c r="A31" s="12" t="s">
        <v>26</v>
      </c>
      <c r="B31" s="14">
        <f>[2]FP!$U$25</f>
        <v>592.40763000000004</v>
      </c>
      <c r="C31" s="14">
        <f>[3]REG11!B31</f>
        <v>525.08780000000002</v>
      </c>
      <c r="D31" s="14">
        <f>B31-C31</f>
        <v>67.319830000000024</v>
      </c>
      <c r="E31" s="14">
        <f>D31/C31*100</f>
        <v>12.820680655692252</v>
      </c>
      <c r="F31" s="14"/>
      <c r="G31" s="14">
        <f>[4]FP!$U$25</f>
        <v>0</v>
      </c>
      <c r="H31" s="14">
        <f>[3]REG11!G31</f>
        <v>0</v>
      </c>
      <c r="I31" s="14">
        <f>G31-H31</f>
        <v>0</v>
      </c>
      <c r="J31" s="14"/>
      <c r="K31" s="14"/>
      <c r="L31" s="14">
        <f>[5]FP!$U$25</f>
        <v>1265.2460000000001</v>
      </c>
      <c r="M31" s="13">
        <f>[3]REG11!L31</f>
        <v>1814.5145000000002</v>
      </c>
      <c r="N31" s="14">
        <f>L31-M31</f>
        <v>-549.26850000000013</v>
      </c>
      <c r="O31" s="14">
        <f>N31/M31*100</f>
        <v>-30.2708245098069</v>
      </c>
      <c r="P31" s="14"/>
      <c r="Q31" s="13">
        <f>B31+G31+L31</f>
        <v>1857.6536300000002</v>
      </c>
      <c r="R31" s="14">
        <f>C31+H31+M31</f>
        <v>2339.6023000000005</v>
      </c>
      <c r="S31" s="14">
        <f>Q31-R31</f>
        <v>-481.94867000000022</v>
      </c>
      <c r="T31" s="14">
        <f>S31/R31*100</f>
        <v>-20.599598059892493</v>
      </c>
      <c r="X31" s="15"/>
      <c r="AC31" s="15"/>
      <c r="AH31" s="15"/>
    </row>
    <row r="32" spans="1:34" ht="15" customHeight="1" x14ac:dyDescent="0.2">
      <c r="A32" s="12" t="s">
        <v>27</v>
      </c>
      <c r="B32" s="14">
        <f>B29-B31</f>
        <v>-68983.989539999704</v>
      </c>
      <c r="C32" s="14">
        <f>[3]REG11!B32</f>
        <v>-274320.19424000103</v>
      </c>
      <c r="D32" s="14">
        <f>B32-C32</f>
        <v>205336.20470000134</v>
      </c>
      <c r="E32" s="14">
        <f>D32/C32*100</f>
        <v>-74.852748361775355</v>
      </c>
      <c r="F32" s="14"/>
      <c r="G32" s="14">
        <f>G29-G31</f>
        <v>-1265.7919499987911</v>
      </c>
      <c r="H32" s="14">
        <f>[3]REG11!G32</f>
        <v>74385.269639999708</v>
      </c>
      <c r="I32" s="14">
        <f>G32-H32</f>
        <v>-75651.061589998499</v>
      </c>
      <c r="J32" s="14">
        <f>I32/H32*100</f>
        <v>-101.70167017761018</v>
      </c>
      <c r="K32" s="14"/>
      <c r="L32" s="14">
        <f>L29-L31</f>
        <v>-12766.789129999841</v>
      </c>
      <c r="M32" s="14">
        <f>[3]REG11!L32</f>
        <v>-20794.596340000164</v>
      </c>
      <c r="N32" s="14">
        <f>L32-M32</f>
        <v>8027.8072100003228</v>
      </c>
      <c r="O32" s="14">
        <f>N32/M32*100</f>
        <v>-38.605256282653379</v>
      </c>
      <c r="P32" s="14"/>
      <c r="Q32" s="13">
        <f>Q26-Q27-Q28-Q31</f>
        <v>-83016.570620000755</v>
      </c>
      <c r="R32" s="14">
        <f>R26-R27-R28-R31</f>
        <v>-220729.52093999708</v>
      </c>
      <c r="S32" s="14">
        <f>Q32-R32</f>
        <v>137712.95031999634</v>
      </c>
      <c r="T32" s="14">
        <f>S32/R32*100</f>
        <v>-62.389910390568971</v>
      </c>
      <c r="X32" s="15"/>
      <c r="AC32" s="15"/>
      <c r="AH32" s="15"/>
    </row>
    <row r="33" spans="1:34" ht="15" customHeight="1" x14ac:dyDescent="0.2">
      <c r="A33" s="12" t="s">
        <v>20</v>
      </c>
      <c r="B33" s="14">
        <f>ROUND((B32/B21*100),0)</f>
        <v>-1</v>
      </c>
      <c r="C33" s="14">
        <f>[3]REG11!B33</f>
        <v>-5</v>
      </c>
      <c r="D33" s="13"/>
      <c r="E33" s="14">
        <f>B33-C33</f>
        <v>4</v>
      </c>
      <c r="F33" s="14"/>
      <c r="G33" s="14">
        <f>ROUND((G32/G21*100),0)</f>
        <v>0</v>
      </c>
      <c r="H33" s="14">
        <f>[3]REG11!G33</f>
        <v>2</v>
      </c>
      <c r="I33" s="13"/>
      <c r="J33" s="14">
        <f>G33-H33</f>
        <v>-2</v>
      </c>
      <c r="K33" s="14"/>
      <c r="L33" s="14">
        <f>ROUND((L32/L21*100),0)</f>
        <v>-1</v>
      </c>
      <c r="M33" s="14">
        <f>[3]REG11!L33</f>
        <v>-1</v>
      </c>
      <c r="N33" s="13"/>
      <c r="O33" s="14">
        <f>L33-M33</f>
        <v>0</v>
      </c>
      <c r="P33" s="14"/>
      <c r="Q33" s="13">
        <f>ROUND((Q32/Q21*100),0)</f>
        <v>-1</v>
      </c>
      <c r="R33" s="14">
        <f>ROUND((R32/R21*100),0)</f>
        <v>-2</v>
      </c>
      <c r="S33" s="13"/>
      <c r="T33" s="14">
        <f>Q33-R33</f>
        <v>1</v>
      </c>
      <c r="V33" s="15"/>
      <c r="X33" s="15"/>
      <c r="Z33" s="15"/>
      <c r="AA33" s="15"/>
      <c r="AC33" s="15"/>
      <c r="AE33" s="15"/>
      <c r="AF33" s="15"/>
      <c r="AH33" s="15"/>
    </row>
    <row r="34" spans="1:34" ht="15.75" customHeight="1" x14ac:dyDescent="0.2">
      <c r="B34" s="13"/>
      <c r="C34" s="13"/>
      <c r="D34" s="13"/>
      <c r="E34" s="14"/>
      <c r="F34" s="14"/>
      <c r="G34" s="13"/>
      <c r="H34" s="13"/>
      <c r="I34" s="13"/>
      <c r="J34" s="14"/>
      <c r="K34" s="14"/>
      <c r="L34" s="13"/>
      <c r="M34" s="13"/>
      <c r="N34" s="14"/>
      <c r="O34" s="14"/>
      <c r="P34" s="14"/>
      <c r="Q34" s="13"/>
      <c r="R34" s="13"/>
      <c r="S34" s="13"/>
      <c r="T34" s="14"/>
    </row>
    <row r="35" spans="1:34" ht="15.75" x14ac:dyDescent="0.25">
      <c r="A35" s="1" t="s">
        <v>28</v>
      </c>
      <c r="B35" s="13"/>
      <c r="C35" s="13"/>
      <c r="D35" s="13"/>
      <c r="E35" s="14"/>
      <c r="F35" s="14"/>
      <c r="G35" s="13"/>
      <c r="H35" s="13"/>
      <c r="I35" s="13"/>
      <c r="J35" s="14"/>
      <c r="K35" s="14"/>
      <c r="L35" s="13"/>
      <c r="M35" s="13"/>
      <c r="N35" s="14"/>
      <c r="O35" s="14"/>
      <c r="P35" s="14"/>
      <c r="Q35" s="13"/>
      <c r="R35" s="13"/>
      <c r="S35" s="13"/>
      <c r="T35" s="14"/>
    </row>
    <row r="36" spans="1:34" ht="9.9499999999999993" customHeight="1" x14ac:dyDescent="0.2">
      <c r="B36" s="13"/>
      <c r="C36" s="13"/>
      <c r="D36" s="13"/>
      <c r="E36" s="14"/>
      <c r="F36" s="14"/>
      <c r="G36" s="13"/>
      <c r="H36" s="13"/>
      <c r="I36" s="13"/>
      <c r="J36" s="14"/>
      <c r="K36" s="14"/>
      <c r="L36" s="13"/>
      <c r="M36" s="13"/>
      <c r="N36" s="14"/>
      <c r="O36" s="14"/>
      <c r="P36" s="14"/>
      <c r="Q36" s="13"/>
      <c r="R36" s="13"/>
      <c r="S36" s="13"/>
      <c r="T36" s="14"/>
    </row>
    <row r="37" spans="1:34" ht="15" customHeight="1" x14ac:dyDescent="0.2">
      <c r="A37" s="12" t="s">
        <v>29</v>
      </c>
      <c r="B37" s="13">
        <f>[2]FP!U31</f>
        <v>114729.63</v>
      </c>
      <c r="C37" s="13">
        <f>[3]REG11!B37</f>
        <v>382116.89</v>
      </c>
      <c r="D37" s="14">
        <f>B37-C37</f>
        <v>-267387.26</v>
      </c>
      <c r="E37" s="14">
        <f>D37/C37*100</f>
        <v>-69.975252860453253</v>
      </c>
      <c r="F37" s="14"/>
      <c r="G37" s="13">
        <f>[4]FP!U31</f>
        <v>411097.36</v>
      </c>
      <c r="H37" s="13">
        <f>[3]REG11!G37</f>
        <v>462189.14</v>
      </c>
      <c r="I37" s="14">
        <f>G37-H37</f>
        <v>-51091.780000000028</v>
      </c>
      <c r="J37" s="14">
        <f>I37/H37*100</f>
        <v>-11.054301275880265</v>
      </c>
      <c r="K37" s="14"/>
      <c r="L37" s="13">
        <f>[5]FP!U31</f>
        <v>11555.72</v>
      </c>
      <c r="M37" s="13">
        <f>[3]REG11!L37</f>
        <v>19533.2</v>
      </c>
      <c r="N37" s="14">
        <f>L37-M37</f>
        <v>-7977.4800000000014</v>
      </c>
      <c r="O37" s="14">
        <f>N37/M37*100</f>
        <v>-40.840620072491966</v>
      </c>
      <c r="P37" s="14"/>
      <c r="Q37" s="13">
        <f t="shared" ref="Q37:R39" si="9">B37+G37+L37</f>
        <v>537382.71</v>
      </c>
      <c r="R37" s="13">
        <f t="shared" si="9"/>
        <v>863839.23</v>
      </c>
      <c r="S37" s="13">
        <f>Q37-R37</f>
        <v>-326456.52</v>
      </c>
      <c r="T37" s="14">
        <f>S37/R37*100</f>
        <v>-37.791351522667014</v>
      </c>
      <c r="X37" s="15"/>
      <c r="AC37" s="15"/>
      <c r="AH37" s="15"/>
    </row>
    <row r="38" spans="1:34" ht="15" customHeight="1" x14ac:dyDescent="0.2">
      <c r="A38" s="12" t="s">
        <v>30</v>
      </c>
      <c r="B38" s="13">
        <f>[2]FP!U32</f>
        <v>89.29</v>
      </c>
      <c r="C38" s="13">
        <f>[3]REG11!B38</f>
        <v>89.15</v>
      </c>
      <c r="D38" s="14">
        <f>B38-C38</f>
        <v>0.14000000000000057</v>
      </c>
      <c r="E38" s="14">
        <f>D38/C38*100</f>
        <v>0.15703869882221039</v>
      </c>
      <c r="F38" s="14"/>
      <c r="G38" s="13">
        <f>[4]FP!U32</f>
        <v>0</v>
      </c>
      <c r="H38" s="13">
        <f>[3]REG11!G38</f>
        <v>0</v>
      </c>
      <c r="I38" s="14">
        <f>G38-H38</f>
        <v>0</v>
      </c>
      <c r="J38" s="14"/>
      <c r="K38" s="14"/>
      <c r="L38" s="13">
        <f>[5]FP!U32</f>
        <v>0</v>
      </c>
      <c r="M38" s="13">
        <f>[3]REG11!L38</f>
        <v>0</v>
      </c>
      <c r="N38" s="14">
        <f>L38-M38</f>
        <v>0</v>
      </c>
      <c r="O38" s="14"/>
      <c r="P38" s="14"/>
      <c r="Q38" s="13">
        <f t="shared" si="9"/>
        <v>89.29</v>
      </c>
      <c r="R38" s="13">
        <f t="shared" si="9"/>
        <v>89.15</v>
      </c>
      <c r="S38" s="13">
        <f>Q38-R38</f>
        <v>0.14000000000000057</v>
      </c>
      <c r="T38" s="14">
        <f>S38/R38*100</f>
        <v>0.15703869882221039</v>
      </c>
      <c r="X38" s="15"/>
      <c r="AC38" s="15"/>
      <c r="AH38" s="15"/>
    </row>
    <row r="39" spans="1:34" ht="15" customHeight="1" x14ac:dyDescent="0.2">
      <c r="A39" s="12" t="s">
        <v>31</v>
      </c>
      <c r="B39" s="13">
        <f>[2]FP!U33</f>
        <v>1551.37</v>
      </c>
      <c r="C39" s="13">
        <f>[3]REG11!B39</f>
        <v>3819.26</v>
      </c>
      <c r="D39" s="14">
        <f>B39-C39</f>
        <v>-2267.8900000000003</v>
      </c>
      <c r="E39" s="14">
        <f>D39/C39*100</f>
        <v>-59.380351167503655</v>
      </c>
      <c r="F39" s="14"/>
      <c r="G39" s="13">
        <f>[4]FP!U33</f>
        <v>8543.44</v>
      </c>
      <c r="H39" s="13">
        <f>[3]REG11!G39</f>
        <v>11710.2</v>
      </c>
      <c r="I39" s="14">
        <f>G39-H39</f>
        <v>-3166.76</v>
      </c>
      <c r="J39" s="14"/>
      <c r="K39" s="14"/>
      <c r="L39" s="13">
        <f>[5]FP!U33</f>
        <v>18848.79</v>
      </c>
      <c r="M39" s="13">
        <f>[3]REG11!L39</f>
        <v>22203.64</v>
      </c>
      <c r="N39" s="14">
        <f>L39-M39</f>
        <v>-3354.8499999999985</v>
      </c>
      <c r="O39" s="14">
        <f>N39/M39*100</f>
        <v>-15.109459530059031</v>
      </c>
      <c r="P39" s="14"/>
      <c r="Q39" s="13">
        <f t="shared" si="9"/>
        <v>28943.600000000002</v>
      </c>
      <c r="R39" s="13">
        <f t="shared" si="9"/>
        <v>37733.1</v>
      </c>
      <c r="S39" s="13">
        <f>Q39-R39</f>
        <v>-8789.4999999999964</v>
      </c>
      <c r="T39" s="14">
        <f>S39/R39*100</f>
        <v>-23.293871958572172</v>
      </c>
      <c r="X39" s="15"/>
      <c r="AC39" s="15"/>
      <c r="AH39" s="15"/>
    </row>
    <row r="40" spans="1:34" ht="15" customHeight="1" x14ac:dyDescent="0.2">
      <c r="A40" s="12" t="s">
        <v>32</v>
      </c>
      <c r="B40" s="13"/>
      <c r="C40" s="13">
        <f>[3]REG11!B40</f>
        <v>0</v>
      </c>
      <c r="D40" s="13"/>
      <c r="E40" s="14"/>
      <c r="F40" s="14"/>
      <c r="G40" s="13"/>
      <c r="H40" s="13">
        <f>[3]REG11!G40</f>
        <v>0</v>
      </c>
      <c r="I40" s="13"/>
      <c r="J40" s="14"/>
      <c r="K40" s="14"/>
      <c r="L40" s="13"/>
      <c r="M40" s="13">
        <f>[3]REG11!L40</f>
        <v>0</v>
      </c>
      <c r="N40" s="14"/>
      <c r="O40" s="14"/>
      <c r="P40" s="14"/>
      <c r="Q40" s="13"/>
      <c r="R40" s="13"/>
      <c r="S40" s="13"/>
      <c r="T40" s="14"/>
    </row>
    <row r="41" spans="1:34" ht="15" customHeight="1" x14ac:dyDescent="0.2">
      <c r="A41" s="12" t="s">
        <v>33</v>
      </c>
      <c r="B41" s="13">
        <f>[2]FP!$U$35</f>
        <v>3597279.27</v>
      </c>
      <c r="C41" s="13">
        <f>[3]REG11!B41</f>
        <v>3968834.47</v>
      </c>
      <c r="D41" s="14">
        <f>B41-C41</f>
        <v>-371555.20000000019</v>
      </c>
      <c r="E41" s="14">
        <f>D41/C41*100</f>
        <v>-9.3618215324561067</v>
      </c>
      <c r="F41" s="14"/>
      <c r="G41" s="13">
        <f>[4]FP!$U$35</f>
        <v>551789.25</v>
      </c>
      <c r="H41" s="13">
        <f>[3]REG11!G41</f>
        <v>599328.09</v>
      </c>
      <c r="I41" s="14">
        <f>G41-H41</f>
        <v>-47538.839999999967</v>
      </c>
      <c r="J41" s="14">
        <f>I41/H41*100</f>
        <v>-7.9320226755932586</v>
      </c>
      <c r="K41" s="14"/>
      <c r="L41" s="13">
        <f>[5]FP!$U$35</f>
        <v>255797.77</v>
      </c>
      <c r="M41" s="13">
        <f>[3]REG11!L41</f>
        <v>263999.08</v>
      </c>
      <c r="N41" s="14">
        <f>L41-M41</f>
        <v>-8201.3100000000268</v>
      </c>
      <c r="O41" s="14">
        <f>N41/M41*100</f>
        <v>-3.1065676440993757</v>
      </c>
      <c r="P41" s="14"/>
      <c r="Q41" s="13">
        <f>B41+G41+L41</f>
        <v>4404866.29</v>
      </c>
      <c r="R41" s="13">
        <f>C41+H41+M41</f>
        <v>4832161.6400000006</v>
      </c>
      <c r="S41" s="13">
        <f>Q41-R41</f>
        <v>-427295.35000000056</v>
      </c>
      <c r="T41" s="14">
        <f>S41/R41*100</f>
        <v>-8.8427370985048537</v>
      </c>
      <c r="X41" s="15"/>
      <c r="AC41" s="15"/>
      <c r="AH41" s="15"/>
    </row>
    <row r="42" spans="1:34" s="21" customFormat="1" ht="15" customHeight="1" x14ac:dyDescent="0.2">
      <c r="A42" s="18" t="s">
        <v>34</v>
      </c>
      <c r="B42" s="19">
        <f>B41/(B13/'[1]DON''T DELETE'!B1)</f>
        <v>6.0440253819660965</v>
      </c>
      <c r="C42" s="19">
        <f>[3]REG11!B42</f>
        <v>6.3615798779535595</v>
      </c>
      <c r="D42" s="19">
        <f>B42-C42</f>
        <v>-0.31755449598746299</v>
      </c>
      <c r="E42" s="14">
        <f>D42/C42*100</f>
        <v>-4.9917552255842503</v>
      </c>
      <c r="F42" s="19"/>
      <c r="G42" s="19">
        <f>G41/(G13/'[1]DON''T DELETE'!B1)</f>
        <v>1.1921617423627731</v>
      </c>
      <c r="H42" s="19">
        <f>[3]REG11!G42</f>
        <v>1.175862435385524</v>
      </c>
      <c r="I42" s="19">
        <f>G42-H42</f>
        <v>1.6299306977249017E-2</v>
      </c>
      <c r="J42" s="14">
        <f>I42/H42*100</f>
        <v>1.3861576394270174</v>
      </c>
      <c r="K42" s="19"/>
      <c r="L42" s="19">
        <f>L41/(L13/'[1]DON''T DELETE'!B1)</f>
        <v>1.4279912917950019</v>
      </c>
      <c r="M42" s="19">
        <f>[3]REG11!L42</f>
        <v>1.453055970434967</v>
      </c>
      <c r="N42" s="19">
        <f>L42-M42</f>
        <v>-2.5064678639965088E-2</v>
      </c>
      <c r="O42" s="14">
        <f>N42/M42*100</f>
        <v>-1.7249630537261456</v>
      </c>
      <c r="P42" s="19"/>
      <c r="Q42" s="19">
        <f>Q41/(Q13/'[1]DON''T DELETE'!B1)</f>
        <v>3.5604713126770782</v>
      </c>
      <c r="R42" s="19">
        <f>R41/(R13/'[1]DON''T DELETE'!B1)</f>
        <v>3.673939752450762</v>
      </c>
      <c r="S42" s="20">
        <f>Q42-R42</f>
        <v>-0.11346843977368382</v>
      </c>
      <c r="T42" s="14">
        <f>S42/R42*100</f>
        <v>-3.088467623836042</v>
      </c>
    </row>
    <row r="43" spans="1:34" ht="15" customHeight="1" x14ac:dyDescent="0.2">
      <c r="A43" s="12" t="s">
        <v>35</v>
      </c>
      <c r="B43" s="13"/>
      <c r="C43" s="13">
        <f>[3]REG11!B43</f>
        <v>0</v>
      </c>
      <c r="D43" s="13"/>
      <c r="E43" s="14"/>
      <c r="F43" s="14"/>
      <c r="G43" s="13"/>
      <c r="H43" s="13">
        <f>[3]REG11!G43</f>
        <v>0</v>
      </c>
      <c r="I43" s="13"/>
      <c r="J43" s="14"/>
      <c r="K43" s="14"/>
      <c r="L43" s="13"/>
      <c r="M43" s="13">
        <f>[3]REG11!L43</f>
        <v>0</v>
      </c>
      <c r="N43" s="14"/>
      <c r="O43" s="14"/>
      <c r="P43" s="14"/>
      <c r="Q43" s="13"/>
      <c r="R43" s="13"/>
      <c r="S43" s="13"/>
      <c r="T43" s="14"/>
    </row>
    <row r="44" spans="1:34" ht="15" customHeight="1" x14ac:dyDescent="0.2">
      <c r="A44" s="12" t="s">
        <v>33</v>
      </c>
      <c r="B44" s="13">
        <f>[2]FP!$U$38</f>
        <v>1333857.8700000001</v>
      </c>
      <c r="C44" s="13">
        <f>[3]REG11!B44</f>
        <v>4150159.19</v>
      </c>
      <c r="D44" s="14">
        <f>B44-C44</f>
        <v>-2816301.32</v>
      </c>
      <c r="E44" s="14">
        <f>D44/C44*100</f>
        <v>-67.860079362401521</v>
      </c>
      <c r="F44" s="14"/>
      <c r="G44" s="13">
        <f>[4]FP!$U$38</f>
        <v>302601.78000000003</v>
      </c>
      <c r="H44" s="13">
        <f>[3]REG11!G44</f>
        <v>315678.37</v>
      </c>
      <c r="I44" s="14">
        <f>G44-H44</f>
        <v>-13076.589999999967</v>
      </c>
      <c r="J44" s="14">
        <f>I44/H44*100</f>
        <v>-4.1423775724640137</v>
      </c>
      <c r="K44" s="14"/>
      <c r="L44" s="13">
        <f>[5]FP!$U$38</f>
        <v>182155.91</v>
      </c>
      <c r="M44" s="13">
        <f>[3]REG11!L44</f>
        <v>173988.28</v>
      </c>
      <c r="N44" s="14">
        <f t="shared" ref="N44:N49" si="10">L44-M44</f>
        <v>8167.6300000000047</v>
      </c>
      <c r="O44" s="14">
        <f t="shared" ref="O44:O49" si="11">N44/M44*100</f>
        <v>4.6943564244672134</v>
      </c>
      <c r="P44" s="14"/>
      <c r="Q44" s="13">
        <f>B44+G44+L44</f>
        <v>1818615.56</v>
      </c>
      <c r="R44" s="13">
        <f>C44+H44+M44</f>
        <v>4639825.84</v>
      </c>
      <c r="S44" s="13">
        <f t="shared" ref="S44:S49" si="12">Q44-R44</f>
        <v>-2821210.28</v>
      </c>
      <c r="T44" s="14">
        <f t="shared" ref="T44:T49" si="13">S44/R44*100</f>
        <v>-60.804227944900624</v>
      </c>
      <c r="X44" s="15"/>
      <c r="AC44" s="15"/>
      <c r="AH44" s="15"/>
    </row>
    <row r="45" spans="1:34" s="21" customFormat="1" ht="15" customHeight="1" x14ac:dyDescent="0.2">
      <c r="A45" s="18" t="s">
        <v>36</v>
      </c>
      <c r="B45" s="22">
        <f>B44/(B22/'[1]DON''T DELETE'!B1)</f>
        <v>2.77522156265319</v>
      </c>
      <c r="C45" s="22">
        <f>[3]REG11!B45</f>
        <v>7.719325283851016</v>
      </c>
      <c r="D45" s="19">
        <f>B45-C45</f>
        <v>-4.944103721197826</v>
      </c>
      <c r="E45" s="14">
        <f>D45/C45*100</f>
        <v>-64.048392047177884</v>
      </c>
      <c r="F45" s="19"/>
      <c r="G45" s="22">
        <f>G44/(G22/'[1]DON''T DELETE'!B1)</f>
        <v>0.88327466016611911</v>
      </c>
      <c r="H45" s="22">
        <f>[3]REG11!G45</f>
        <v>0.8250461363328736</v>
      </c>
      <c r="I45" s="19">
        <f>G45-H45</f>
        <v>5.8228523833245505E-2</v>
      </c>
      <c r="J45" s="14">
        <f>I45/H45*100</f>
        <v>7.0576082074703024</v>
      </c>
      <c r="K45" s="19"/>
      <c r="L45" s="22">
        <f>L44/(L22/'[1]DON''T DELETE'!B1)</f>
        <v>1.2938769990497849</v>
      </c>
      <c r="M45" s="22">
        <f>[3]REG11!L45</f>
        <v>1.1945869067565114</v>
      </c>
      <c r="N45" s="19">
        <f t="shared" si="10"/>
        <v>9.9290092293273569E-2</v>
      </c>
      <c r="O45" s="14">
        <f t="shared" si="11"/>
        <v>8.3116675506566171</v>
      </c>
      <c r="P45" s="19"/>
      <c r="Q45" s="22">
        <f>Q44/(Q22/'[1]DON''T DELETE'!B1)</f>
        <v>1.8865209663128828</v>
      </c>
      <c r="R45" s="22">
        <f>R44/(R22/'[1]DON''T DELETE'!B1)</f>
        <v>4.3529708832887959</v>
      </c>
      <c r="S45" s="13">
        <f t="shared" si="12"/>
        <v>-2.4664499169759129</v>
      </c>
      <c r="T45" s="14">
        <f t="shared" si="13"/>
        <v>-56.661300594605365</v>
      </c>
    </row>
    <row r="46" spans="1:34" ht="15" customHeight="1" x14ac:dyDescent="0.2">
      <c r="A46" s="12" t="s">
        <v>37</v>
      </c>
      <c r="B46" s="13">
        <f>[2]FP!U40</f>
        <v>408620.19208111113</v>
      </c>
      <c r="C46" s="13">
        <f>[3]REG11!B46</f>
        <v>436370.27575999993</v>
      </c>
      <c r="D46" s="14">
        <f>B46-C46</f>
        <v>-27750.083678888797</v>
      </c>
      <c r="E46" s="14">
        <f>D46/C46*100</f>
        <v>-6.3592974179000032</v>
      </c>
      <c r="F46" s="14"/>
      <c r="G46" s="13">
        <f>[4]FP!U40</f>
        <v>346162.64370333333</v>
      </c>
      <c r="H46" s="13">
        <f>[3]REG11!G46</f>
        <v>394770.75979222223</v>
      </c>
      <c r="I46" s="14">
        <f>G46-H46</f>
        <v>-48608.116088888899</v>
      </c>
      <c r="J46" s="14">
        <f>I46/H46*100</f>
        <v>-12.312998083868361</v>
      </c>
      <c r="K46" s="14"/>
      <c r="L46" s="13">
        <f>[5]FP!U40</f>
        <v>141395.63904444443</v>
      </c>
      <c r="M46" s="23">
        <f>[3]REG11!L46</f>
        <v>145537.73527555555</v>
      </c>
      <c r="N46" s="14">
        <f t="shared" si="10"/>
        <v>-4142.0962311111216</v>
      </c>
      <c r="O46" s="14">
        <f t="shared" si="11"/>
        <v>-2.8460634097875963</v>
      </c>
      <c r="P46" s="14"/>
      <c r="Q46" s="13">
        <f t="shared" ref="Q46:R48" si="14">B46+G46+L46</f>
        <v>896178.47482888889</v>
      </c>
      <c r="R46" s="13">
        <f t="shared" si="14"/>
        <v>976678.77082777768</v>
      </c>
      <c r="S46" s="13">
        <f t="shared" si="12"/>
        <v>-80500.295998888789</v>
      </c>
      <c r="T46" s="14">
        <f t="shared" si="13"/>
        <v>-8.2422489771802141</v>
      </c>
      <c r="X46" s="15"/>
      <c r="AC46" s="15"/>
      <c r="AH46" s="15"/>
    </row>
    <row r="47" spans="1:34" ht="15" customHeight="1" x14ac:dyDescent="0.2">
      <c r="A47" s="12" t="s">
        <v>38</v>
      </c>
      <c r="B47" s="13">
        <f>[2]FP!U41</f>
        <v>5406.0891099999999</v>
      </c>
      <c r="C47" s="13">
        <f>[3]REG11!B47</f>
        <v>8625.4541699999991</v>
      </c>
      <c r="D47" s="14">
        <f>B47-C47</f>
        <v>-3219.3650599999992</v>
      </c>
      <c r="E47" s="14">
        <f>D47/C47*100</f>
        <v>-37.324006325338807</v>
      </c>
      <c r="F47" s="14"/>
      <c r="G47" s="13">
        <f>[4]FP!U41</f>
        <v>2191.62221</v>
      </c>
      <c r="H47" s="13">
        <f>[3]REG11!G47</f>
        <v>2045.83672</v>
      </c>
      <c r="I47" s="14">
        <f>G47-H47</f>
        <v>145.78548999999998</v>
      </c>
      <c r="J47" s="14">
        <f>I47/H47*100</f>
        <v>7.1259592016707956</v>
      </c>
      <c r="K47" s="14"/>
      <c r="L47" s="13">
        <f>[5]FP!U41</f>
        <v>42.06</v>
      </c>
      <c r="M47" s="13">
        <f>[3]REG11!L47</f>
        <v>35.799999999999997</v>
      </c>
      <c r="N47" s="14">
        <f t="shared" si="10"/>
        <v>6.2600000000000051</v>
      </c>
      <c r="O47" s="14">
        <f t="shared" si="11"/>
        <v>17.486033519553086</v>
      </c>
      <c r="P47" s="14"/>
      <c r="Q47" s="13">
        <f t="shared" si="14"/>
        <v>7639.7713200000007</v>
      </c>
      <c r="R47" s="13">
        <f t="shared" si="14"/>
        <v>10707.090889999998</v>
      </c>
      <c r="S47" s="13">
        <f t="shared" si="12"/>
        <v>-3067.3195699999969</v>
      </c>
      <c r="T47" s="14">
        <f t="shared" si="13"/>
        <v>-28.647553303808721</v>
      </c>
      <c r="X47" s="15"/>
      <c r="AC47" s="15"/>
      <c r="AH47" s="15"/>
    </row>
    <row r="48" spans="1:34" ht="15" customHeight="1" x14ac:dyDescent="0.2">
      <c r="A48" s="12" t="s">
        <v>39</v>
      </c>
      <c r="B48" s="13">
        <f>[2]FP!U42</f>
        <v>120139.83959000002</v>
      </c>
      <c r="C48" s="13">
        <f>[3]REG11!B48</f>
        <v>87656.568859999999</v>
      </c>
      <c r="D48" s="14">
        <f>B48-C48</f>
        <v>32483.270730000018</v>
      </c>
      <c r="E48" s="14">
        <f>D48/C48*100</f>
        <v>37.0574289553592</v>
      </c>
      <c r="F48" s="14"/>
      <c r="G48" s="13">
        <f>[4]FP!U42</f>
        <v>114033.16469999999</v>
      </c>
      <c r="H48" s="13">
        <f>[3]REG11!G48</f>
        <v>84272.416790000003</v>
      </c>
      <c r="I48" s="14">
        <f>G48-H48</f>
        <v>29760.747909999991</v>
      </c>
      <c r="J48" s="14">
        <f>I48/H48*100</f>
        <v>35.314933454633618</v>
      </c>
      <c r="K48" s="14"/>
      <c r="L48" s="13">
        <f>[5]FP!U42</f>
        <v>40991.663960000005</v>
      </c>
      <c r="M48" s="13">
        <f>[3]REG11!L48</f>
        <v>29794.841239999994</v>
      </c>
      <c r="N48" s="14">
        <f t="shared" si="10"/>
        <v>11196.822720000011</v>
      </c>
      <c r="O48" s="14">
        <f t="shared" si="11"/>
        <v>37.579736135556644</v>
      </c>
      <c r="P48" s="14"/>
      <c r="Q48" s="13">
        <f t="shared" si="14"/>
        <v>275164.66824999999</v>
      </c>
      <c r="R48" s="13">
        <f t="shared" si="14"/>
        <v>201723.82688999997</v>
      </c>
      <c r="S48" s="13">
        <f t="shared" si="12"/>
        <v>73440.84136000002</v>
      </c>
      <c r="T48" s="14">
        <f t="shared" si="13"/>
        <v>36.406627066443335</v>
      </c>
      <c r="X48" s="15"/>
      <c r="AC48" s="15"/>
      <c r="AH48" s="15"/>
    </row>
    <row r="49" spans="1:34" ht="15" hidden="1" customHeight="1" x14ac:dyDescent="0.2">
      <c r="A49" s="12" t="s">
        <v>40</v>
      </c>
      <c r="B49" s="13">
        <v>90740</v>
      </c>
      <c r="C49" s="13">
        <v>1938227.32015</v>
      </c>
      <c r="D49" s="13">
        <v>0</v>
      </c>
      <c r="E49" s="14">
        <v>0</v>
      </c>
      <c r="F49" s="14"/>
      <c r="G49" s="13">
        <v>90740</v>
      </c>
      <c r="H49" s="13">
        <v>1552459.0989699999</v>
      </c>
      <c r="I49" s="13">
        <v>0</v>
      </c>
      <c r="J49" s="14">
        <v>0</v>
      </c>
      <c r="K49" s="14"/>
      <c r="L49" s="13">
        <v>90740</v>
      </c>
      <c r="M49" s="13">
        <v>513587.962</v>
      </c>
      <c r="N49" s="14">
        <f t="shared" si="10"/>
        <v>-422847.962</v>
      </c>
      <c r="O49" s="14">
        <f t="shared" si="11"/>
        <v>-82.332140409474789</v>
      </c>
      <c r="P49" s="14"/>
      <c r="Q49" s="13">
        <f>B49+G49+L49</f>
        <v>272220</v>
      </c>
      <c r="R49" s="13">
        <f>C49+H49+M49</f>
        <v>4004274.3811199996</v>
      </c>
      <c r="S49" s="13">
        <f t="shared" si="12"/>
        <v>-3732054.3811199996</v>
      </c>
      <c r="T49" s="14">
        <f t="shared" si="13"/>
        <v>-93.201764562301051</v>
      </c>
      <c r="X49" s="15"/>
      <c r="AC49" s="15"/>
      <c r="AH49" s="15"/>
    </row>
    <row r="50" spans="1:34" ht="9.9499999999999993" customHeight="1" x14ac:dyDescent="0.2">
      <c r="B50" s="13"/>
      <c r="C50" s="13"/>
      <c r="D50" s="13"/>
      <c r="E50" s="14"/>
      <c r="F50" s="14"/>
      <c r="G50" s="13"/>
      <c r="H50" s="13"/>
      <c r="I50" s="13"/>
      <c r="J50" s="14"/>
      <c r="K50" s="14"/>
      <c r="L50" s="13"/>
      <c r="M50" s="13"/>
      <c r="N50" s="14"/>
      <c r="O50" s="14"/>
      <c r="P50" s="14"/>
      <c r="Q50" s="13"/>
      <c r="R50" s="13"/>
      <c r="S50" s="13"/>
      <c r="T50" s="14"/>
    </row>
    <row r="51" spans="1:34" ht="15.75" x14ac:dyDescent="0.25">
      <c r="A51" s="1" t="s">
        <v>41</v>
      </c>
      <c r="B51" s="13"/>
      <c r="C51" s="13"/>
      <c r="D51" s="13"/>
      <c r="E51" s="14"/>
      <c r="F51" s="14"/>
      <c r="G51" s="13"/>
      <c r="H51" s="13"/>
      <c r="I51" s="13"/>
      <c r="J51" s="14"/>
      <c r="K51" s="14"/>
      <c r="L51" s="13"/>
      <c r="M51" s="13"/>
      <c r="N51" s="14"/>
      <c r="O51" s="14"/>
      <c r="P51" s="14"/>
      <c r="Q51" s="13"/>
      <c r="R51" s="13"/>
      <c r="S51" s="13"/>
      <c r="T51" s="14"/>
    </row>
    <row r="52" spans="1:34" ht="15.75" customHeight="1" x14ac:dyDescent="0.2">
      <c r="A52" s="12" t="s">
        <v>42</v>
      </c>
      <c r="B52" s="13">
        <f>'[6]financial profile(mcso)'!X135</f>
        <v>481442.42979300022</v>
      </c>
      <c r="C52" s="13">
        <f>[3]REG11!B52</f>
        <v>410273.21579000005</v>
      </c>
      <c r="D52" s="14">
        <f>B52-C52</f>
        <v>71169.214003000176</v>
      </c>
      <c r="E52" s="14">
        <f>D52/C52*100</f>
        <v>17.346785328396482</v>
      </c>
      <c r="F52" s="14"/>
      <c r="G52" s="13">
        <f>'[6]financial profile(mcso)'!Y135</f>
        <v>184175.28088999999</v>
      </c>
      <c r="H52" s="13">
        <f>[3]REG11!G52</f>
        <v>173826.74488999997</v>
      </c>
      <c r="I52" s="14">
        <f>G52-H52</f>
        <v>10348.536000000022</v>
      </c>
      <c r="J52" s="14">
        <f>I52/H52*100</f>
        <v>5.9533623589101445</v>
      </c>
      <c r="K52" s="14"/>
      <c r="L52" s="13">
        <f>'[6]financial profile(mcso)'!Z135</f>
        <v>294802.69105000002</v>
      </c>
      <c r="M52" s="13">
        <f>[3]REG11!L52</f>
        <v>270364.69188</v>
      </c>
      <c r="N52" s="14">
        <f>L52-M52</f>
        <v>24437.999170000025</v>
      </c>
      <c r="O52" s="14">
        <f>N52/M52*100</f>
        <v>9.0389018625430229</v>
      </c>
      <c r="P52" s="14"/>
      <c r="Q52" s="13">
        <f>B52+G52+L52</f>
        <v>960420.4017330003</v>
      </c>
      <c r="R52" s="13">
        <f>C52+H52+M52</f>
        <v>854464.65256000008</v>
      </c>
      <c r="S52" s="13">
        <f>Q52-R52</f>
        <v>105955.74917300022</v>
      </c>
      <c r="T52" s="14">
        <f>S52/R52*100</f>
        <v>12.400249542863339</v>
      </c>
    </row>
    <row r="53" spans="1:34" ht="15" customHeight="1" x14ac:dyDescent="0.2">
      <c r="A53" s="12" t="s">
        <v>43</v>
      </c>
      <c r="B53" s="23">
        <f>'[6]financial profile(mcso)'!X136</f>
        <v>503971.05767600011</v>
      </c>
      <c r="C53" s="23">
        <f>[3]REG11!B53</f>
        <v>433320.30368000001</v>
      </c>
      <c r="D53" s="14">
        <f>B53-C53</f>
        <v>70650.753996000101</v>
      </c>
      <c r="E53" s="14">
        <f>D53/C53*100</f>
        <v>16.304510403965409</v>
      </c>
      <c r="F53" s="14"/>
      <c r="G53" s="23">
        <f>'[6]financial profile(mcso)'!Y136</f>
        <v>194840.47604999997</v>
      </c>
      <c r="H53" s="13">
        <f>[3]REG11!G53</f>
        <v>182570.68505</v>
      </c>
      <c r="I53" s="14">
        <f>G53-H53</f>
        <v>12269.790999999968</v>
      </c>
      <c r="J53" s="14">
        <f>I53/H53*100</f>
        <v>6.7205701707476653</v>
      </c>
      <c r="K53" s="14"/>
      <c r="L53" s="23">
        <f>'[6]financial profile(mcso)'!Z136</f>
        <v>294807.69624000002</v>
      </c>
      <c r="M53" s="13">
        <f>[3]REG11!L53</f>
        <v>269102.77824000001</v>
      </c>
      <c r="N53" s="14">
        <f>L53-M53</f>
        <v>25704.918000000005</v>
      </c>
      <c r="O53" s="14">
        <f>N53/M53*100</f>
        <v>9.552081984480667</v>
      </c>
      <c r="P53" s="14"/>
      <c r="Q53" s="13">
        <f>B53+G53+L53</f>
        <v>993619.22996600019</v>
      </c>
      <c r="R53" s="13">
        <f>C53+H53+M53</f>
        <v>884993.76697</v>
      </c>
      <c r="S53" s="13">
        <f>Q53-R53</f>
        <v>108625.46299600019</v>
      </c>
      <c r="T53" s="14">
        <f>S53/R53*100</f>
        <v>12.274150061859411</v>
      </c>
      <c r="W53" s="15"/>
      <c r="AB53" s="15"/>
      <c r="AG53" s="15"/>
    </row>
    <row r="54" spans="1:34" ht="15" customHeight="1" x14ac:dyDescent="0.2">
      <c r="A54" s="12" t="s">
        <v>44</v>
      </c>
      <c r="B54" s="24">
        <f>'[6]financial profile(mcso)'!X137</f>
        <v>-0.96363272753371998</v>
      </c>
      <c r="C54" s="24">
        <f>[3]REG11!B54</f>
        <v>-1.8882150082657707</v>
      </c>
      <c r="D54" s="25">
        <f>B54-C54</f>
        <v>0.92458228073205073</v>
      </c>
      <c r="E54" s="14">
        <f>D54/C54*100</f>
        <v>-48.965942791718007</v>
      </c>
      <c r="F54" s="14"/>
      <c r="G54" s="24">
        <f>'[6]financial profile(mcso)'!Y137</f>
        <v>-4.1223976647517961</v>
      </c>
      <c r="H54" s="20">
        <f>[3]REG11!G54</f>
        <v>-3.3797786121631224</v>
      </c>
      <c r="I54" s="25">
        <f>G54-H54</f>
        <v>-0.74261905258867378</v>
      </c>
      <c r="J54" s="14">
        <f>I54/H54*100</f>
        <v>21.972417066494881</v>
      </c>
      <c r="K54" s="14"/>
      <c r="L54" s="24">
        <f>'[6]financial profile(mcso)'!Z137</f>
        <v>-1.1601252841379041E-3</v>
      </c>
      <c r="M54" s="20">
        <f>[3]REG11!L54</f>
        <v>0.17698181871221128</v>
      </c>
      <c r="N54" s="25">
        <f>L54-M54</f>
        <v>-0.17814194399634917</v>
      </c>
      <c r="O54" s="14">
        <f>N54/M54*100</f>
        <v>-100.65550534658271</v>
      </c>
      <c r="P54" s="14"/>
      <c r="Q54" s="20">
        <f>+'[6]financial profile(mcso)'!$I$139</f>
        <v>-1.0963822808132238</v>
      </c>
      <c r="R54" s="20">
        <f>+'[7]financial profile(mcso)'!$I$139</f>
        <v>-1.3925561545286766</v>
      </c>
      <c r="S54" s="20">
        <f>Q54-R54</f>
        <v>0.2961738737154529</v>
      </c>
      <c r="T54" s="14">
        <f>S54/R54*100</f>
        <v>-21.26836126157481</v>
      </c>
      <c r="U54" s="26"/>
      <c r="V54" s="26"/>
      <c r="W54" s="26"/>
      <c r="X54" s="26"/>
      <c r="Y54" s="26"/>
      <c r="Z54" s="26"/>
      <c r="AA54" s="26"/>
      <c r="AB54" s="15"/>
      <c r="AC54" s="15"/>
      <c r="AD54" s="15"/>
      <c r="AE54" s="15"/>
      <c r="AF54" s="15"/>
      <c r="AG54" s="15"/>
      <c r="AH54" s="15"/>
    </row>
    <row r="55" spans="1:34" ht="15" customHeight="1" x14ac:dyDescent="0.2">
      <c r="A55" s="12" t="s">
        <v>45</v>
      </c>
      <c r="B55" s="13">
        <f>'[6]financial profile(mcso)'!X138</f>
        <v>-22528.627882999892</v>
      </c>
      <c r="C55" s="13">
        <f>[3]REG11!B55</f>
        <v>-23047.087889999966</v>
      </c>
      <c r="D55" s="14">
        <f>B55-C55</f>
        <v>518.46000700007426</v>
      </c>
      <c r="E55" s="14">
        <f>D55/C55*100</f>
        <v>-2.2495684030650649</v>
      </c>
      <c r="F55" s="14"/>
      <c r="G55" s="13">
        <f>'[6]financial profile(mcso)'!Y138</f>
        <v>-10665.195159999974</v>
      </c>
      <c r="H55" s="13">
        <f>[3]REG11!G55</f>
        <v>-8743.9401600000274</v>
      </c>
      <c r="I55" s="14">
        <f>G55-H55</f>
        <v>-1921.2549999999464</v>
      </c>
      <c r="J55" s="14">
        <f>I55/H55*100</f>
        <v>21.972417066494888</v>
      </c>
      <c r="K55" s="14"/>
      <c r="L55" s="13">
        <f>'[6]financial profile(mcso)'!Z138</f>
        <v>-5.0051899999962188</v>
      </c>
      <c r="M55" s="13">
        <f>[3]REG11!L55</f>
        <v>1261.9136399999843</v>
      </c>
      <c r="N55" s="14">
        <f>L55-M55</f>
        <v>-1266.9188299999805</v>
      </c>
      <c r="O55" s="14">
        <f>N55/M55*100</f>
        <v>-100.39663490759925</v>
      </c>
      <c r="P55" s="14"/>
      <c r="Q55" s="13">
        <f>B55+G55+L55</f>
        <v>-33198.828232999862</v>
      </c>
      <c r="R55" s="13">
        <f>C55+H55+M55</f>
        <v>-30529.114410000009</v>
      </c>
      <c r="S55" s="13">
        <f>Q55-R55</f>
        <v>-2669.7138229998527</v>
      </c>
      <c r="T55" s="14">
        <f>S55/R55*100</f>
        <v>8.7448125325422836</v>
      </c>
      <c r="W55" s="15"/>
      <c r="AB55" s="15"/>
      <c r="AG55" s="15"/>
    </row>
    <row r="56" spans="1:34" ht="15" customHeight="1" x14ac:dyDescent="0.2">
      <c r="A56" s="12" t="s">
        <v>46</v>
      </c>
      <c r="B56" s="13">
        <f>'[6]financial profile(mcso)'!X139</f>
        <v>374777.66883000004</v>
      </c>
      <c r="C56" s="13">
        <f>[3]REG11!B56</f>
        <v>228216.35483000003</v>
      </c>
      <c r="D56" s="14">
        <f>B56-C56</f>
        <v>146561.31400000001</v>
      </c>
      <c r="E56" s="14">
        <f>D56/C56*100</f>
        <v>64.220337805839804</v>
      </c>
      <c r="F56" s="14"/>
      <c r="G56" s="13">
        <f>'[6]financial profile(mcso)'!Y139</f>
        <v>63250.030840000007</v>
      </c>
      <c r="H56" s="13">
        <f>[3]REG11!G56</f>
        <v>70869.629840000009</v>
      </c>
      <c r="I56" s="14">
        <f>G56-H56</f>
        <v>-7619.599000000002</v>
      </c>
      <c r="J56" s="14">
        <f>I56/H56*100</f>
        <v>-10.751571607192693</v>
      </c>
      <c r="K56" s="27"/>
      <c r="L56" s="13">
        <f>'[6]financial profile(mcso)'!Z139</f>
        <v>68471.908810000008</v>
      </c>
      <c r="M56" s="13">
        <f>[3]REG11!L56</f>
        <v>89021.507639999996</v>
      </c>
      <c r="N56" s="14">
        <f>L56-M56</f>
        <v>-20549.598829999988</v>
      </c>
      <c r="O56" s="14">
        <f>N56/M56*100</f>
        <v>-23.083858468339898</v>
      </c>
      <c r="P56" s="14"/>
      <c r="Q56" s="13">
        <f>B56+G56+L56</f>
        <v>506499.60848000005</v>
      </c>
      <c r="R56" s="13">
        <f>C56+H56+M56</f>
        <v>388107.49231</v>
      </c>
      <c r="S56" s="13">
        <f>Q56-R56</f>
        <v>118392.11617000005</v>
      </c>
      <c r="T56" s="14">
        <f>S56/R56*100</f>
        <v>30.504980840574603</v>
      </c>
      <c r="W56" s="15"/>
      <c r="AB56" s="15"/>
      <c r="AG56" s="15"/>
    </row>
    <row r="57" spans="1:34" ht="14.25" customHeight="1" x14ac:dyDescent="0.2">
      <c r="B57" s="13"/>
      <c r="C57" s="13"/>
      <c r="D57" s="13"/>
      <c r="E57" s="14"/>
      <c r="F57" s="14"/>
      <c r="G57" s="13"/>
      <c r="H57" s="13"/>
      <c r="I57" s="13"/>
      <c r="J57" s="14"/>
      <c r="K57" s="14"/>
      <c r="L57" s="13"/>
      <c r="M57" s="13"/>
      <c r="N57" s="14"/>
      <c r="O57" s="14"/>
      <c r="P57" s="14"/>
      <c r="Q57" s="13"/>
      <c r="R57" s="13"/>
      <c r="S57" s="13"/>
      <c r="T57" s="14"/>
    </row>
    <row r="58" spans="1:34" ht="18.75" customHeight="1" x14ac:dyDescent="0.25">
      <c r="A58" s="1" t="s">
        <v>47</v>
      </c>
      <c r="B58" s="13"/>
      <c r="C58" s="13"/>
      <c r="D58" s="13"/>
      <c r="E58" s="14"/>
      <c r="F58" s="14"/>
      <c r="G58" s="13"/>
      <c r="H58" s="13"/>
      <c r="I58" s="13"/>
      <c r="J58" s="14"/>
      <c r="K58" s="14"/>
      <c r="L58" s="13"/>
      <c r="M58" s="13"/>
      <c r="N58" s="14"/>
      <c r="O58" s="14"/>
      <c r="P58" s="14"/>
      <c r="Q58" s="13"/>
      <c r="R58" s="13"/>
      <c r="S58" s="13"/>
      <c r="T58" s="14"/>
    </row>
    <row r="59" spans="1:34" ht="9.9499999999999993" customHeight="1" x14ac:dyDescent="0.2">
      <c r="B59" s="13"/>
      <c r="C59" s="13"/>
      <c r="D59" s="13"/>
      <c r="E59" s="14"/>
      <c r="F59" s="14"/>
      <c r="G59" s="13"/>
      <c r="H59" s="13"/>
      <c r="I59" s="13"/>
      <c r="J59" s="14"/>
      <c r="K59" s="14"/>
      <c r="L59" s="13"/>
      <c r="M59" s="13"/>
      <c r="N59" s="14"/>
      <c r="O59" s="14"/>
      <c r="P59" s="14"/>
      <c r="Q59" s="13"/>
      <c r="R59" s="13"/>
      <c r="S59" s="13"/>
      <c r="T59" s="14"/>
    </row>
    <row r="60" spans="1:34" ht="15" customHeight="1" x14ac:dyDescent="0.2">
      <c r="A60" s="12" t="s">
        <v>48</v>
      </c>
      <c r="B60" s="13">
        <v>535138.89728400041</v>
      </c>
      <c r="C60" s="13">
        <v>491654</v>
      </c>
      <c r="D60" s="14">
        <f>B60-C60</f>
        <v>43484.897284000413</v>
      </c>
      <c r="E60" s="14">
        <f>D60/C60*100</f>
        <v>8.8446137495068502</v>
      </c>
      <c r="F60" s="14"/>
      <c r="G60" s="13">
        <v>419871</v>
      </c>
      <c r="H60" s="13">
        <v>382513</v>
      </c>
      <c r="I60" s="14">
        <f>G60-H60</f>
        <v>37358</v>
      </c>
      <c r="J60" s="14">
        <f>I60/H60*100</f>
        <v>9.766465453461711</v>
      </c>
      <c r="K60" s="14"/>
      <c r="L60" s="13">
        <v>158604</v>
      </c>
      <c r="M60" s="13">
        <v>143944</v>
      </c>
      <c r="N60" s="14">
        <f>L60-M60</f>
        <v>14660</v>
      </c>
      <c r="O60" s="14">
        <f>N60/M60*100</f>
        <v>10.184516200744733</v>
      </c>
      <c r="P60" s="14"/>
      <c r="Q60" s="13">
        <f t="shared" ref="Q60:R62" si="15">B60+G60+L60</f>
        <v>1113613.8972840004</v>
      </c>
      <c r="R60" s="13">
        <f t="shared" si="15"/>
        <v>1018111</v>
      </c>
      <c r="S60" s="13">
        <f t="shared" ref="S60:S72" si="16">Q60-R60</f>
        <v>95502.897284000413</v>
      </c>
      <c r="T60" s="14">
        <f t="shared" ref="T60:T65" si="17">S60/R60*100</f>
        <v>9.3804012808034098</v>
      </c>
      <c r="X60" s="15"/>
      <c r="AC60" s="15"/>
      <c r="AH60" s="15"/>
    </row>
    <row r="61" spans="1:34" ht="15" customHeight="1" x14ac:dyDescent="0.2">
      <c r="A61" s="12" t="s">
        <v>49</v>
      </c>
      <c r="B61" s="13">
        <v>473240.65960000001</v>
      </c>
      <c r="C61" s="13">
        <v>432986</v>
      </c>
      <c r="D61" s="14">
        <f>B61-C61</f>
        <v>40254.659600000014</v>
      </c>
      <c r="E61" s="14">
        <f>D61/C61*100</f>
        <v>9.2969887248086582</v>
      </c>
      <c r="F61" s="14"/>
      <c r="G61" s="13">
        <v>375883</v>
      </c>
      <c r="H61" s="13">
        <v>344630</v>
      </c>
      <c r="I61" s="14">
        <f>G61-H61</f>
        <v>31253</v>
      </c>
      <c r="J61" s="14">
        <f>I61/H61*100</f>
        <v>9.0685662884833018</v>
      </c>
      <c r="K61" s="14"/>
      <c r="L61" s="13">
        <v>131618</v>
      </c>
      <c r="M61" s="13">
        <v>124963</v>
      </c>
      <c r="N61" s="14">
        <f>L61-M61</f>
        <v>6655</v>
      </c>
      <c r="O61" s="14">
        <f>N61/M61*100</f>
        <v>5.3255763706056998</v>
      </c>
      <c r="P61" s="14"/>
      <c r="Q61" s="13">
        <f>B61+G61+L61</f>
        <v>980741.65960000001</v>
      </c>
      <c r="R61" s="13">
        <f>C61+H61+M61</f>
        <v>902579</v>
      </c>
      <c r="S61" s="13">
        <f t="shared" si="16"/>
        <v>78162.659600000014</v>
      </c>
      <c r="T61" s="14">
        <f t="shared" si="17"/>
        <v>8.6599244609059163</v>
      </c>
      <c r="X61" s="15"/>
      <c r="AC61" s="15"/>
      <c r="AH61" s="15"/>
    </row>
    <row r="62" spans="1:34" ht="15" customHeight="1" x14ac:dyDescent="0.2">
      <c r="A62" s="12" t="s">
        <v>50</v>
      </c>
      <c r="B62" s="13">
        <v>622.70333999999991</v>
      </c>
      <c r="C62" s="13">
        <v>499</v>
      </c>
      <c r="D62" s="14">
        <f>B62-C62</f>
        <v>123.70333999999991</v>
      </c>
      <c r="E62" s="14">
        <f>D62/C62*100</f>
        <v>24.790248496993968</v>
      </c>
      <c r="F62" s="14"/>
      <c r="G62" s="13">
        <v>2284</v>
      </c>
      <c r="H62" s="13">
        <v>991</v>
      </c>
      <c r="I62" s="14">
        <f>G62-H62</f>
        <v>1293</v>
      </c>
      <c r="J62" s="14">
        <f>I62/H62*100</f>
        <v>130.47426841574168</v>
      </c>
      <c r="K62" s="14"/>
      <c r="L62" s="13">
        <v>222</v>
      </c>
      <c r="M62" s="13">
        <v>224</v>
      </c>
      <c r="N62" s="14">
        <f>L62-M62</f>
        <v>-2</v>
      </c>
      <c r="O62" s="14">
        <f>N62/M62*100</f>
        <v>-0.89285714285714279</v>
      </c>
      <c r="P62" s="14"/>
      <c r="Q62" s="13">
        <f t="shared" si="15"/>
        <v>3128.70334</v>
      </c>
      <c r="R62" s="13">
        <f t="shared" si="15"/>
        <v>1714</v>
      </c>
      <c r="S62" s="13">
        <f t="shared" si="16"/>
        <v>1414.70334</v>
      </c>
      <c r="T62" s="14">
        <f t="shared" si="17"/>
        <v>82.538117852975503</v>
      </c>
      <c r="X62" s="15"/>
      <c r="AC62" s="15"/>
      <c r="AH62" s="15"/>
    </row>
    <row r="63" spans="1:34" s="21" customFormat="1" ht="15" customHeight="1" x14ac:dyDescent="0.2">
      <c r="A63" s="18" t="s">
        <v>51</v>
      </c>
      <c r="B63" s="20">
        <f>(B60-B61-B62)/B60*100</f>
        <v>11.450398140556249</v>
      </c>
      <c r="C63" s="20">
        <f>(C60-C61-C62)/C60*100</f>
        <v>11.831287856907501</v>
      </c>
      <c r="D63" s="20"/>
      <c r="E63" s="25">
        <f>B63-C63</f>
        <v>-0.38088971635125191</v>
      </c>
      <c r="F63" s="25"/>
      <c r="G63" s="20">
        <f>(G60-G61-G62)/G60*100</f>
        <v>9.9325745288433822</v>
      </c>
      <c r="H63" s="20">
        <f>(H60-H61-H62)/H60*100</f>
        <v>9.6446395285911848</v>
      </c>
      <c r="I63" s="20"/>
      <c r="J63" s="25">
        <f>G63-H63</f>
        <v>0.28793500025219743</v>
      </c>
      <c r="K63" s="25"/>
      <c r="L63" s="20">
        <f>(L60-L61-L62)/L60*100</f>
        <v>16.874732037023026</v>
      </c>
      <c r="M63" s="20">
        <f>(M60-M61-M62)/M60*100</f>
        <v>13.030761962985604</v>
      </c>
      <c r="N63" s="25"/>
      <c r="O63" s="25">
        <f>L63-M63</f>
        <v>3.8439700740374221</v>
      </c>
      <c r="P63" s="25"/>
      <c r="Q63" s="20">
        <f>(Q60-Q61-Q62)/Q60*100</f>
        <v>11.650674857814963</v>
      </c>
      <c r="R63" s="20">
        <f>(R60-R61-R62)/R60*100</f>
        <v>11.179331133835111</v>
      </c>
      <c r="S63" s="20"/>
      <c r="T63" s="25">
        <f>Q63-R63</f>
        <v>0.47134372397985125</v>
      </c>
    </row>
    <row r="64" spans="1:34" ht="15" customHeight="1" x14ac:dyDescent="0.2">
      <c r="A64" s="12" t="s">
        <v>52</v>
      </c>
      <c r="B64" s="20">
        <f>B13/B61</f>
        <v>11.319007141773497</v>
      </c>
      <c r="C64" s="20">
        <f>C13/C61</f>
        <v>12.967810528446648</v>
      </c>
      <c r="D64" s="14">
        <f>B64-C64</f>
        <v>-1.6488033866731513</v>
      </c>
      <c r="E64" s="14">
        <f>B64-C64</f>
        <v>-1.6488033866731513</v>
      </c>
      <c r="F64" s="14"/>
      <c r="G64" s="20">
        <f>G13/G61</f>
        <v>11.082248380267265</v>
      </c>
      <c r="H64" s="20">
        <f>H13/H61</f>
        <v>13.310597352377913</v>
      </c>
      <c r="I64" s="14">
        <f>G64-H64</f>
        <v>-2.2283489721106484</v>
      </c>
      <c r="J64" s="14">
        <f>I64/H64*100</f>
        <v>-16.74116430028257</v>
      </c>
      <c r="K64" s="14"/>
      <c r="L64" s="20">
        <f>L13/L61</f>
        <v>12.24893746068167</v>
      </c>
      <c r="M64" s="20">
        <f>M13/M61</f>
        <v>13.085223254403303</v>
      </c>
      <c r="N64" s="14">
        <f>L64-M64</f>
        <v>-0.83628579372163259</v>
      </c>
      <c r="O64" s="14">
        <f>N64/M64*100</f>
        <v>-6.3910701213310546</v>
      </c>
      <c r="P64" s="14"/>
      <c r="Q64" s="20">
        <f>Q13/Q61</f>
        <v>11.353065015053225</v>
      </c>
      <c r="R64" s="20">
        <f>R13/R61</f>
        <v>13.114952074621723</v>
      </c>
      <c r="S64" s="13">
        <f t="shared" si="16"/>
        <v>-1.7618870595684974</v>
      </c>
      <c r="T64" s="14">
        <f t="shared" si="17"/>
        <v>-13.434186030903325</v>
      </c>
      <c r="V64" s="26"/>
      <c r="W64" s="26"/>
      <c r="X64" s="26"/>
      <c r="Z64" s="26"/>
      <c r="AA64" s="26"/>
      <c r="AB64" s="26"/>
      <c r="AC64" s="26"/>
      <c r="AE64" s="26"/>
      <c r="AF64" s="26"/>
      <c r="AG64" s="26"/>
      <c r="AH64" s="26"/>
    </row>
    <row r="65" spans="1:34" ht="15" customHeight="1" x14ac:dyDescent="0.2">
      <c r="A65" s="12" t="s">
        <v>53</v>
      </c>
      <c r="B65" s="20">
        <f>B22/B60</f>
        <v>8.0832848697865156</v>
      </c>
      <c r="C65" s="20">
        <f>C22/C60</f>
        <v>9.8416597443527358</v>
      </c>
      <c r="D65" s="14">
        <f>B65-C65</f>
        <v>-1.7583748745662202</v>
      </c>
      <c r="E65" s="14">
        <f>D65/C65*100</f>
        <v>-17.866649734311299</v>
      </c>
      <c r="F65" s="14"/>
      <c r="G65" s="20">
        <f>G22/G60</f>
        <v>7.3434871114461346</v>
      </c>
      <c r="H65" s="20">
        <f>H22/H60</f>
        <v>9.0024952409722019</v>
      </c>
      <c r="I65" s="14">
        <f>G65-H65</f>
        <v>-1.6590081295260672</v>
      </c>
      <c r="J65" s="14">
        <f>I65/H65*100</f>
        <v>-18.428314429710344</v>
      </c>
      <c r="K65" s="14"/>
      <c r="L65" s="20">
        <f>L22/L60</f>
        <v>7.9887466269450949</v>
      </c>
      <c r="M65" s="20">
        <f>M22/M60</f>
        <v>9.1064936050130623</v>
      </c>
      <c r="N65" s="14">
        <f>L65-M65</f>
        <v>-1.1177469780679674</v>
      </c>
      <c r="O65" s="14">
        <f>N65/M65*100</f>
        <v>-12.274175182560446</v>
      </c>
      <c r="P65" s="14"/>
      <c r="Q65" s="20">
        <f>Q22/Q60</f>
        <v>7.7908910977135406</v>
      </c>
      <c r="R65" s="20">
        <f>R22/R60</f>
        <v>9.422438179668033</v>
      </c>
      <c r="S65" s="13">
        <f t="shared" si="16"/>
        <v>-1.6315470819544924</v>
      </c>
      <c r="T65" s="14">
        <f t="shared" si="17"/>
        <v>-17.315550931128257</v>
      </c>
      <c r="V65" s="26"/>
      <c r="W65" s="26"/>
      <c r="X65" s="26"/>
      <c r="Z65" s="26"/>
      <c r="AA65" s="26"/>
      <c r="AB65" s="26"/>
      <c r="AC65" s="26"/>
      <c r="AE65" s="26"/>
      <c r="AF65" s="26"/>
      <c r="AG65" s="26"/>
      <c r="AH65" s="26"/>
    </row>
    <row r="66" spans="1:34" ht="15" hidden="1" customHeight="1" x14ac:dyDescent="0.2">
      <c r="A66" s="12" t="s">
        <v>54</v>
      </c>
      <c r="B66" s="13"/>
      <c r="C66" s="13"/>
      <c r="D66" s="13"/>
      <c r="E66" s="14"/>
      <c r="F66" s="14"/>
      <c r="G66" s="13"/>
      <c r="H66" s="13"/>
      <c r="I66" s="13"/>
      <c r="J66" s="14"/>
      <c r="K66" s="14"/>
      <c r="L66" s="13"/>
      <c r="M66" s="13"/>
      <c r="N66" s="14"/>
      <c r="O66" s="14"/>
      <c r="P66" s="14"/>
      <c r="Q66" s="13"/>
      <c r="R66" s="23"/>
      <c r="S66" s="13"/>
      <c r="T66" s="14"/>
      <c r="W66" s="15"/>
      <c r="X66" s="26"/>
      <c r="AB66" s="15"/>
      <c r="AC66" s="26"/>
      <c r="AG66" s="15"/>
      <c r="AH66" s="26"/>
    </row>
    <row r="67" spans="1:34" s="21" customFormat="1" ht="15" customHeight="1" x14ac:dyDescent="0.2">
      <c r="A67" s="18" t="s">
        <v>55</v>
      </c>
      <c r="B67" s="22">
        <f>+$C$79</f>
        <v>70.616752263245772</v>
      </c>
      <c r="C67" s="22">
        <f>[8]REG11!B67</f>
        <v>70.42</v>
      </c>
      <c r="D67" s="22"/>
      <c r="E67" s="19">
        <f>+B67-C67</f>
        <v>0.19675226324577011</v>
      </c>
      <c r="F67" s="19"/>
      <c r="G67" s="22">
        <f>+$C$80</f>
        <v>97.274410638656846</v>
      </c>
      <c r="H67" s="19">
        <f>[8]REG11!G67</f>
        <v>97.59</v>
      </c>
      <c r="I67" s="22"/>
      <c r="J67" s="19">
        <f>+G67-H67</f>
        <v>-0.31558936134315729</v>
      </c>
      <c r="K67" s="19"/>
      <c r="L67" s="22">
        <f>+$C$81</f>
        <v>93.60862314427041</v>
      </c>
      <c r="M67" s="19">
        <f>[8]REG11!L67</f>
        <v>95.79</v>
      </c>
      <c r="N67" s="19"/>
      <c r="O67" s="19">
        <f>+L67-M67</f>
        <v>-2.1813768557295958</v>
      </c>
      <c r="P67" s="19"/>
      <c r="Q67" s="22">
        <f>(B67+G67+L67)/3</f>
        <v>87.166595348724343</v>
      </c>
      <c r="R67" s="22">
        <f>(C67+H67+M67)/3</f>
        <v>87.933333333333337</v>
      </c>
      <c r="S67" s="22"/>
      <c r="T67" s="19">
        <f>+Q67-R67</f>
        <v>-0.76673798460899434</v>
      </c>
    </row>
    <row r="68" spans="1:34" ht="15" customHeight="1" x14ac:dyDescent="0.2">
      <c r="A68" s="12" t="s">
        <v>56</v>
      </c>
      <c r="B68" s="13">
        <v>224340</v>
      </c>
      <c r="C68" s="13">
        <v>216271</v>
      </c>
      <c r="D68" s="14">
        <f>B68-C68</f>
        <v>8069</v>
      </c>
      <c r="E68" s="14">
        <f>D68/C68*100</f>
        <v>3.7309671661942656</v>
      </c>
      <c r="F68" s="14"/>
      <c r="G68" s="13">
        <v>194156</v>
      </c>
      <c r="H68" s="13">
        <v>189192</v>
      </c>
      <c r="I68" s="14">
        <f>G68-H68</f>
        <v>4964</v>
      </c>
      <c r="J68" s="14">
        <f>I68/H68*100</f>
        <v>2.6237895894118144</v>
      </c>
      <c r="K68" s="14"/>
      <c r="L68" s="13">
        <v>102544</v>
      </c>
      <c r="M68" s="13">
        <v>99307</v>
      </c>
      <c r="N68" s="14">
        <f>L68-M68</f>
        <v>3237</v>
      </c>
      <c r="O68" s="14">
        <f>N68/M68*100</f>
        <v>3.2595889514334333</v>
      </c>
      <c r="P68" s="14"/>
      <c r="Q68" s="13">
        <f>B68+G68+L68</f>
        <v>521040</v>
      </c>
      <c r="R68" s="13">
        <f>C68+H68+M68</f>
        <v>504770</v>
      </c>
      <c r="S68" s="13">
        <f t="shared" si="16"/>
        <v>16270</v>
      </c>
      <c r="T68" s="14">
        <f>S68/R68*100</f>
        <v>3.2232501931572797</v>
      </c>
      <c r="W68" s="15"/>
      <c r="X68" s="26"/>
      <c r="AB68" s="15"/>
      <c r="AC68" s="26"/>
      <c r="AG68" s="15"/>
      <c r="AH68" s="26"/>
    </row>
    <row r="69" spans="1:34" ht="15" customHeight="1" x14ac:dyDescent="0.2">
      <c r="A69" s="12" t="s">
        <v>57</v>
      </c>
      <c r="B69" s="13">
        <v>467</v>
      </c>
      <c r="C69" s="13">
        <v>460</v>
      </c>
      <c r="D69" s="14">
        <f>B69-C69</f>
        <v>7</v>
      </c>
      <c r="E69" s="14">
        <f>D69/C69*100</f>
        <v>1.5217391304347827</v>
      </c>
      <c r="F69" s="14"/>
      <c r="G69" s="13">
        <v>286</v>
      </c>
      <c r="H69" s="13">
        <v>289</v>
      </c>
      <c r="I69" s="14">
        <f>G69-H69</f>
        <v>-3</v>
      </c>
      <c r="J69" s="14">
        <f>I69/H69*100</f>
        <v>-1.0380622837370241</v>
      </c>
      <c r="K69" s="14"/>
      <c r="L69" s="13">
        <v>174</v>
      </c>
      <c r="M69" s="13">
        <v>186</v>
      </c>
      <c r="N69" s="14">
        <f>L69-M69</f>
        <v>-12</v>
      </c>
      <c r="O69" s="14">
        <f>N69/M69*100</f>
        <v>-6.4516129032258061</v>
      </c>
      <c r="P69" s="14"/>
      <c r="Q69" s="13">
        <f>B69+G69+L69</f>
        <v>927</v>
      </c>
      <c r="R69" s="13">
        <f>C69+H69+M69</f>
        <v>935</v>
      </c>
      <c r="S69" s="13">
        <f t="shared" si="16"/>
        <v>-8</v>
      </c>
      <c r="T69" s="14">
        <f>S69/R69*100</f>
        <v>-0.85561497326203206</v>
      </c>
      <c r="W69" s="15"/>
      <c r="X69" s="26"/>
      <c r="AB69" s="15"/>
      <c r="AC69" s="26"/>
      <c r="AG69" s="15"/>
      <c r="AH69" s="26"/>
    </row>
    <row r="70" spans="1:34" ht="15" customHeight="1" x14ac:dyDescent="0.2">
      <c r="A70" s="12" t="s">
        <v>58</v>
      </c>
      <c r="B70" s="14">
        <f>B68/B69</f>
        <v>480.38543897216272</v>
      </c>
      <c r="C70" s="14">
        <f>C68/C69</f>
        <v>470.15434782608696</v>
      </c>
      <c r="D70" s="14">
        <f>B70-C70</f>
        <v>10.231091146075755</v>
      </c>
      <c r="E70" s="14">
        <f>D70/C70*100</f>
        <v>2.1761132686281783</v>
      </c>
      <c r="F70" s="14"/>
      <c r="G70" s="14">
        <f>G68/G69</f>
        <v>678.86713286713291</v>
      </c>
      <c r="H70" s="14">
        <f>H68/H69</f>
        <v>654.64359861591697</v>
      </c>
      <c r="I70" s="14">
        <f>G70-H70</f>
        <v>24.223534251215938</v>
      </c>
      <c r="J70" s="14">
        <f>I70/H70*100</f>
        <v>3.7002629067832706</v>
      </c>
      <c r="K70" s="14"/>
      <c r="L70" s="14">
        <f>L68/L69</f>
        <v>589.33333333333337</v>
      </c>
      <c r="M70" s="14">
        <f>M68/M69</f>
        <v>533.9086021505376</v>
      </c>
      <c r="N70" s="14">
        <f>L70-M70</f>
        <v>55.424731182795767</v>
      </c>
      <c r="O70" s="14">
        <f>N70/M70*100</f>
        <v>10.380939913601269</v>
      </c>
      <c r="P70" s="14"/>
      <c r="Q70" s="14">
        <f>Q68/Q69</f>
        <v>562.07119741100325</v>
      </c>
      <c r="R70" s="14">
        <f>R68/R69</f>
        <v>539.86096256684493</v>
      </c>
      <c r="S70" s="13">
        <f t="shared" si="16"/>
        <v>22.210234844158322</v>
      </c>
      <c r="T70" s="14">
        <f>S70/R70*100</f>
        <v>4.1140657288048086</v>
      </c>
    </row>
    <row r="71" spans="1:34" ht="15" customHeight="1" x14ac:dyDescent="0.2">
      <c r="A71" s="12" t="s">
        <v>59</v>
      </c>
      <c r="B71" s="14">
        <f>(1000*B24)/B68</f>
        <v>1936.373447133815</v>
      </c>
      <c r="C71" s="14">
        <f>(1000*C24)/C68</f>
        <v>2041.426458378608</v>
      </c>
      <c r="D71" s="14">
        <f>B71-C71</f>
        <v>-105.05301124479297</v>
      </c>
      <c r="E71" s="14">
        <f>D71/C71*100</f>
        <v>-5.146059061477569</v>
      </c>
      <c r="F71" s="14"/>
      <c r="G71" s="14">
        <f>(1000*G24)/G68</f>
        <v>1904.7479582397661</v>
      </c>
      <c r="H71" s="14">
        <f>(1000*H24)/H68</f>
        <v>1864.388272072815</v>
      </c>
      <c r="I71" s="14">
        <f>G71-H71</f>
        <v>40.359686166951178</v>
      </c>
      <c r="J71" s="14">
        <f>I71/H71*100</f>
        <v>2.16476829271617</v>
      </c>
      <c r="K71" s="14"/>
      <c r="L71" s="14">
        <f>(1000*L24)/L68</f>
        <v>1136.8116803518487</v>
      </c>
      <c r="M71" s="14">
        <f>(1000*M24)/M68</f>
        <v>1115.623786037238</v>
      </c>
      <c r="N71" s="14">
        <f>L71-M71</f>
        <v>21.18789431461073</v>
      </c>
      <c r="O71" s="14">
        <f>N71/M71*100</f>
        <v>1.8991970751960561</v>
      </c>
      <c r="P71" s="14"/>
      <c r="Q71" s="14">
        <f>(1000*Q24)/Q68</f>
        <v>1767.2299260325503</v>
      </c>
      <c r="R71" s="14">
        <f>(1000*R24)/R68</f>
        <v>1792.931313013848</v>
      </c>
      <c r="S71" s="13">
        <f t="shared" si="16"/>
        <v>-25.701386981297674</v>
      </c>
      <c r="T71" s="14">
        <f>S71/R71*100</f>
        <v>-1.4334841939981871</v>
      </c>
    </row>
    <row r="72" spans="1:34" x14ac:dyDescent="0.2">
      <c r="A72" s="2" t="s">
        <v>60</v>
      </c>
      <c r="B72" s="14">
        <v>124025</v>
      </c>
      <c r="C72" s="14">
        <v>111546</v>
      </c>
      <c r="D72" s="14">
        <f>B72-C72</f>
        <v>12479</v>
      </c>
      <c r="E72" s="14">
        <f>D72/C72*100</f>
        <v>11.18731285747584</v>
      </c>
      <c r="F72" s="14"/>
      <c r="G72" s="14">
        <v>91100</v>
      </c>
      <c r="H72" s="14">
        <v>83189</v>
      </c>
      <c r="I72" s="14">
        <f>G72-H72</f>
        <v>7911</v>
      </c>
      <c r="J72" s="14">
        <f>I72/H72*100</f>
        <v>9.5096707497385466</v>
      </c>
      <c r="K72" s="14"/>
      <c r="L72" s="14">
        <v>28851</v>
      </c>
      <c r="M72" s="14">
        <v>33484</v>
      </c>
      <c r="N72" s="14">
        <f>L72-M72</f>
        <v>-4633</v>
      </c>
      <c r="O72" s="14">
        <f>N72/M72*100</f>
        <v>-13.836459204396128</v>
      </c>
      <c r="P72" s="14"/>
      <c r="Q72" s="13">
        <f>B72+G72+L72</f>
        <v>243976</v>
      </c>
      <c r="R72" s="13">
        <f>C72+H72+M72</f>
        <v>228219</v>
      </c>
      <c r="S72" s="13">
        <f t="shared" si="16"/>
        <v>15757</v>
      </c>
      <c r="T72" s="14">
        <f>S72/R72*100</f>
        <v>6.9043331186272834</v>
      </c>
    </row>
    <row r="73" spans="1:34" x14ac:dyDescent="0.2">
      <c r="A73" s="2" t="s">
        <v>61</v>
      </c>
      <c r="B73" s="28" t="s">
        <v>62</v>
      </c>
      <c r="C73" s="28"/>
      <c r="D73" s="28"/>
      <c r="E73" s="28"/>
      <c r="F73" s="22"/>
      <c r="G73" s="28" t="s">
        <v>63</v>
      </c>
      <c r="H73" s="28"/>
      <c r="I73" s="28"/>
      <c r="J73" s="28"/>
      <c r="K73" s="22"/>
      <c r="L73" s="28" t="s">
        <v>64</v>
      </c>
      <c r="M73" s="28"/>
      <c r="N73" s="28"/>
      <c r="O73" s="28"/>
      <c r="P73" s="22"/>
      <c r="Q73" s="22"/>
      <c r="R73" s="22"/>
      <c r="S73" s="22"/>
      <c r="T73" s="22"/>
    </row>
    <row r="74" spans="1:34" ht="15" customHeight="1" x14ac:dyDescent="0.2"/>
    <row r="75" spans="1:34" x14ac:dyDescent="0.2">
      <c r="A75" s="2" t="s">
        <v>65</v>
      </c>
      <c r="B75" s="29">
        <f>+'[9]Summary 09_2024'!$P$110</f>
        <v>28515.466969999998</v>
      </c>
      <c r="G75" s="29">
        <f>+'[9]Summary 09_2024'!$P$111</f>
        <v>108448.02010999998</v>
      </c>
      <c r="L75" s="29">
        <f>+'[9]Summary 09_2024'!$P$112</f>
        <v>28965.37398</v>
      </c>
    </row>
    <row r="76" spans="1:34" s="30" customFormat="1" x14ac:dyDescent="0.2">
      <c r="A76" s="30" t="s">
        <v>66</v>
      </c>
      <c r="B76" s="31">
        <f>+B32+B14-B75</f>
        <v>-5.1999969946336932E-4</v>
      </c>
      <c r="G76" s="31">
        <f>+G32+G14-G75</f>
        <v>3.9600012387381867E-3</v>
      </c>
      <c r="L76" s="31">
        <f>+L32+L14-L75</f>
        <v>3.5500001540640369E-3</v>
      </c>
    </row>
    <row r="78" spans="1:34" ht="15.75" x14ac:dyDescent="0.25">
      <c r="A78" s="32" t="s">
        <v>67</v>
      </c>
    </row>
    <row r="79" spans="1:34" x14ac:dyDescent="0.2">
      <c r="A79" s="2" t="str">
        <f>'[9]Summary 09_2024'!A110</f>
        <v>DANECO/NORDECO</v>
      </c>
      <c r="B79" s="29">
        <f>'[9]Summary 09_2024'!N110</f>
        <v>70.616752263245772</v>
      </c>
      <c r="C79" s="33">
        <f>IF(B79="NDA","0",B79)</f>
        <v>70.616752263245772</v>
      </c>
    </row>
    <row r="80" spans="1:34" x14ac:dyDescent="0.2">
      <c r="A80" s="2" t="str">
        <f>'[9]Summary 09_2024'!A111</f>
        <v>DASURECO</v>
      </c>
      <c r="B80" s="29">
        <f>'[9]Summary 09_2024'!N111</f>
        <v>97.274410638656846</v>
      </c>
      <c r="C80" s="33">
        <f t="shared" ref="C80:C81" si="18">IF(B80="NDA","0",B80)</f>
        <v>97.274410638656846</v>
      </c>
    </row>
    <row r="81" spans="1:12" x14ac:dyDescent="0.2">
      <c r="A81" s="2" t="str">
        <f>'[9]Summary 09_2024'!A112</f>
        <v>DORECO</v>
      </c>
      <c r="B81" s="29">
        <f>'[9]Summary 09_2024'!N112</f>
        <v>93.60862314427041</v>
      </c>
      <c r="C81" s="33">
        <f t="shared" si="18"/>
        <v>93.60862314427041</v>
      </c>
    </row>
    <row r="84" spans="1:12" x14ac:dyDescent="0.2">
      <c r="A84" s="2" t="s">
        <v>68</v>
      </c>
      <c r="B84" s="29">
        <f>+'[9]Summary 09_2024'!$S$110</f>
        <v>114729.62942</v>
      </c>
      <c r="G84" s="29">
        <f>+'[9]Summary 09_2024'!$S$111</f>
        <v>411097.35570000001</v>
      </c>
      <c r="L84" s="29">
        <f>+'[9]Summary 09_2024'!$S$112</f>
        <v>11555.720439999999</v>
      </c>
    </row>
    <row r="85" spans="1:12" s="36" customFormat="1" x14ac:dyDescent="0.2">
      <c r="A85" s="34" t="s">
        <v>66</v>
      </c>
      <c r="B85" s="35">
        <f>B37-B84</f>
        <v>5.8000000717584044E-4</v>
      </c>
      <c r="G85" s="35">
        <f>G37-G84</f>
        <v>4.299999971408397E-3</v>
      </c>
      <c r="L85" s="35">
        <f>L37-L84</f>
        <v>-4.3999999979860149E-4</v>
      </c>
    </row>
  </sheetData>
  <mergeCells count="14">
    <mergeCell ref="D8:E8"/>
    <mergeCell ref="I8:J8"/>
    <mergeCell ref="N8:O8"/>
    <mergeCell ref="S8:T8"/>
    <mergeCell ref="B73:E73"/>
    <mergeCell ref="G73:J73"/>
    <mergeCell ref="L73:O73"/>
    <mergeCell ref="B5:E5"/>
    <mergeCell ref="G5:J5"/>
    <mergeCell ref="L5:O5"/>
    <mergeCell ref="Q5:T5"/>
    <mergeCell ref="B6:E6"/>
    <mergeCell ref="G6:J6"/>
    <mergeCell ref="L6:O6"/>
  </mergeCells>
  <pageMargins left="0.82" right="0.14000000000000001" top="0.5" bottom="0" header="0.33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REG11</vt:lpstr>
      <vt:lpstr>'REG11'!Print_Area</vt:lpstr>
      <vt:lpstr>'REG11'!Print_Titles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2025-01-22T07:43:42Z</dcterms:created>
  <dcterms:modified xsi:type="dcterms:W3CDTF">2025-01-22T07:43:54Z</dcterms:modified>
</cp:coreProperties>
</file>